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50722F8C-31E8-407A-ADD5-F37E25F95307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21Pos" hidden="1" xlm="1">#NAME?</definedName>
    <definedName name="_xlpm.a21Sel" hidden="1" xlm="1">#NAME?</definedName>
    <definedName name="_xlpm.a21Val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lkTop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fVal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Row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Ok" hidden="1" xlm="1">#NAME?</definedName>
    <definedName name="_xlpm.subPos" hidden="1" xlm="1">#NAME?</definedName>
    <definedName name="_xlpm.subSel" hidden="1" xlm="1">#NAME?</definedName>
    <definedName name="_xlpm.subVa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" hidden="1" xlm="1">#NAME?</definedName>
    <definedName name="_xlpm.vCd" hidden="1" xlm="1">#NAME?</definedName>
    <definedName name="_xlpm.vCode" hidden="1" xlm="1">#NAME?</definedName>
    <definedName name="_xlpm.vCount" hidden="1" xlm="1">#NAME?</definedName>
    <definedName name="_xlpm.vFamCode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Item" hidden="1" xlm="1">#NAME?</definedName>
    <definedName name="_xlpm.vm" hidden="1" xlm="1">#NAME?</definedName>
    <definedName name="_xlpm.vMarks" hidden="1" xlm="1">#NAME?</definedName>
    <definedName name="_xlpm.vNeedSubtype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Row" hidden="1" xlm="1">#NAME?</definedName>
    <definedName name="_xlpm.vRows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SubtypeOK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vTops" hidden="1" xlm="1">#NAME?</definedName>
    <definedName name="_xlpm.vV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Dropdown!$F$1:INDEX(Dropdown!$F$1:$F$40,IFERROR(MATCH(2,1/(TRIM(Dropdown!$F$1:$F$40)&lt;&gt;""),1),1))</definedName>
    <definedName name="G_List">Dropdown!$G$1:INDEX(Dropdown!$G$1:$G$5000,IFERROR(MATCH(2,1/(TRIM(Dropdown!$G$1:$G$5000)&lt;&gt;""),1),1))</definedName>
    <definedName name="H_List">Dropdown!$H$1:INDEX(Dropdown!$H$1:$H$5000,IFERROR(MATCH(2,1/(TRIM(Dropdown!$H$1:$H$5000)&lt;&gt;""),1),1))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67" i="38" l="1"/>
  <c r="T467" i="38" a="1"/>
  <c r="T467" i="38" s="1"/>
  <c r="R467" i="38" s="1"/>
  <c r="Q468" i="38"/>
  <c r="T468" i="38" a="1"/>
  <c r="T468" i="38" s="1"/>
  <c r="R468" i="38" s="1"/>
  <c r="Q469" i="38"/>
  <c r="T469" i="38" a="1"/>
  <c r="T469" i="38" s="1"/>
  <c r="R469" i="38" s="1"/>
  <c r="Q470" i="38"/>
  <c r="T470" i="38" a="1"/>
  <c r="T470" i="38" s="1"/>
  <c r="R470" i="38" s="1"/>
  <c r="Q471" i="38"/>
  <c r="T471" i="38" a="1"/>
  <c r="T471" i="38" s="1"/>
  <c r="R471" i="38" s="1"/>
  <c r="Q472" i="38"/>
  <c r="T472" i="38" a="1"/>
  <c r="T472" i="38" s="1"/>
  <c r="R472" i="38" s="1"/>
  <c r="Q473" i="38"/>
  <c r="T473" i="38" a="1"/>
  <c r="T473" i="38" s="1"/>
  <c r="R473" i="38" s="1"/>
  <c r="P372" i="38" a="1"/>
  <c r="P372" i="38" s="1"/>
  <c r="P373" i="38" a="1"/>
  <c r="P373" i="38" s="1"/>
  <c r="P374" i="38" a="1"/>
  <c r="P374" i="38" s="1"/>
  <c r="P375" i="38" a="1"/>
  <c r="P375" i="38" s="1"/>
  <c r="P376" i="38" a="1"/>
  <c r="P376" i="38" s="1"/>
  <c r="P378" i="38" a="1"/>
  <c r="P378" i="38" s="1"/>
  <c r="T362" i="38" a="1"/>
  <c r="T362" i="38" s="1"/>
  <c r="R362" i="38" s="1"/>
  <c r="T363" i="38" a="1"/>
  <c r="T363" i="38" s="1"/>
  <c r="R363" i="38" s="1"/>
  <c r="T364" i="38" a="1"/>
  <c r="T364" i="38" s="1"/>
  <c r="T365" i="38" a="1"/>
  <c r="T365" i="38" s="1"/>
  <c r="Q362" i="38" a="1"/>
  <c r="Q362" i="38" s="1"/>
  <c r="Q363" i="38" a="1"/>
  <c r="Q363" i="38" s="1"/>
  <c r="Q364" i="38" a="1"/>
  <c r="Q364" i="38" s="1"/>
  <c r="Q365" i="38" a="1"/>
  <c r="Q365" i="38" s="1"/>
  <c r="Q366" i="38" a="1"/>
  <c r="Q366" i="38" s="1"/>
  <c r="Q367" i="38" a="1"/>
  <c r="Q367" i="38" s="1"/>
  <c r="Q368" i="38" a="1"/>
  <c r="Q368" i="38" s="1"/>
  <c r="Q369" i="38" a="1"/>
  <c r="Q369" i="38" s="1"/>
  <c r="Q370" i="38" a="1"/>
  <c r="Q370" i="38" s="1"/>
  <c r="Q371" i="38" a="1"/>
  <c r="Q371" i="38" s="1"/>
  <c r="Q372" i="38" a="1"/>
  <c r="Q372" i="38" s="1"/>
  <c r="Q373" i="38" a="1"/>
  <c r="Q373" i="38" s="1"/>
  <c r="Q374" i="38" a="1"/>
  <c r="Q374" i="38" s="1"/>
  <c r="Q375" i="38" a="1"/>
  <c r="Q375" i="38" s="1"/>
  <c r="Q376" i="38" a="1"/>
  <c r="Q376" i="38" s="1"/>
  <c r="Q377" i="38" a="1"/>
  <c r="Q377" i="38" s="1"/>
  <c r="Q378" i="38" a="1"/>
  <c r="Q378" i="38" s="1"/>
  <c r="Q379" i="38" a="1"/>
  <c r="Q379" i="38" s="1"/>
  <c r="Q67" i="38"/>
  <c r="Q66" i="38"/>
  <c r="S66" i="38"/>
  <c r="W4" i="38" a="1"/>
  <c r="W4" i="38" s="1"/>
  <c r="W66" i="38" s="1"/>
  <c r="T66" i="38"/>
  <c r="R66" i="38" s="1"/>
  <c r="T67" i="38"/>
  <c r="R67" i="38" s="1"/>
  <c r="G61" i="38"/>
  <c r="S65" i="38"/>
  <c r="V65" i="38" l="1" a="1"/>
  <c r="V65" i="38" s="1"/>
  <c r="S109" i="38"/>
  <c r="V109" i="38" s="1" a="1"/>
  <c r="V109" i="38" s="1"/>
  <c r="F101" i="38"/>
  <c r="F2" i="19" a="1"/>
  <c r="F1" i="19" a="1"/>
  <c r="F1" i="19" s="1"/>
  <c r="B42" i="19" a="1"/>
  <c r="F91" i="38"/>
  <c r="F71" i="38"/>
  <c r="F521" i="38"/>
  <c r="F491" i="38"/>
  <c r="F461" i="38"/>
  <c r="F431" i="38"/>
  <c r="F401" i="38"/>
  <c r="F371" i="38"/>
  <c r="F341" i="38"/>
  <c r="G311" i="38"/>
  <c r="F311" i="38"/>
  <c r="F281" i="38"/>
  <c r="F251" i="38"/>
  <c r="F221" i="38"/>
  <c r="F191" i="38"/>
  <c r="F161" i="38"/>
  <c r="B32" i="1" l="1" a="1"/>
  <c r="B32" i="1" s="1"/>
  <c r="B15" i="1" a="1"/>
  <c r="B15" i="1" s="1"/>
  <c r="F2" i="19"/>
  <c r="T65" i="38"/>
  <c r="R65" i="38"/>
  <c r="T109" i="38"/>
  <c r="R109" i="38"/>
  <c r="B42" i="19"/>
  <c r="B17" i="1" s="1" a="1"/>
  <c r="B17" i="1" s="1"/>
  <c r="T465" i="38"/>
  <c r="R465" i="38" s="1"/>
  <c r="W467" i="38" l="1" a="1"/>
  <c r="W467" i="38" s="1"/>
  <c r="W468" i="38" a="1"/>
  <c r="W468" i="38" s="1"/>
  <c r="W469" i="38" a="1"/>
  <c r="W469" i="38" s="1"/>
  <c r="W470" i="38" a="1"/>
  <c r="W470" i="38" s="1"/>
  <c r="W471" i="38" a="1"/>
  <c r="W471" i="38" s="1"/>
  <c r="W472" i="38" a="1"/>
  <c r="W472" i="38" s="1"/>
  <c r="AC73" i="36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U480" i="38"/>
  <c r="T480" i="38" a="1"/>
  <c r="T480" i="38" s="1"/>
  <c r="Q480" i="38"/>
  <c r="U479" i="38"/>
  <c r="T479" i="38" a="1"/>
  <c r="T479" i="38" s="1"/>
  <c r="W479" i="38" s="1" a="1"/>
  <c r="W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Q474" i="38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T371" i="38" a="1"/>
  <c r="T371" i="38" s="1"/>
  <c r="R371" i="38" s="1"/>
  <c r="T370" i="38" a="1"/>
  <c r="T370" i="38" s="1"/>
  <c r="R370" i="38" s="1"/>
  <c r="T369" i="38" a="1"/>
  <c r="T369" i="38" s="1"/>
  <c r="R369" i="38" s="1"/>
  <c r="T368" i="38" a="1"/>
  <c r="T368" i="38" s="1"/>
  <c r="R368" i="38" s="1"/>
  <c r="T367" i="38" a="1"/>
  <c r="T367" i="38" s="1"/>
  <c r="R367" i="38" s="1"/>
  <c r="T366" i="38" a="1"/>
  <c r="T366" i="38" s="1"/>
  <c r="R366" i="38" s="1"/>
  <c r="R365" i="38"/>
  <c r="W364" i="38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W361" i="38" s="1" a="1"/>
  <c r="W361" i="38" s="1"/>
  <c r="H361" i="38"/>
  <c r="G361" i="38"/>
  <c r="R478" i="38" l="1"/>
  <c r="W478" i="38" a="1"/>
  <c r="W478" i="38" s="1"/>
  <c r="R477" i="38"/>
  <c r="W477" i="38" a="1"/>
  <c r="W477" i="38" s="1"/>
  <c r="R476" i="38"/>
  <c r="W476" i="38" a="1"/>
  <c r="W476" i="38" s="1"/>
  <c r="R475" i="38"/>
  <c r="W475" i="38" a="1"/>
  <c r="W475" i="38" s="1"/>
  <c r="R474" i="38"/>
  <c r="W474" i="38" a="1"/>
  <c r="W474" i="38" s="1"/>
  <c r="C2" i="19"/>
  <c r="W366" i="38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P466" i="38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P361" i="38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T112" i="38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R292" i="38"/>
  <c r="AC59" i="36" l="1"/>
  <c r="W295" i="38" s="1" a="1"/>
  <c r="W295" i="38" s="1"/>
  <c r="AC58" i="36"/>
  <c r="W294" i="38" s="1" a="1"/>
  <c r="W294" i="38" s="1"/>
  <c r="AC57" i="36"/>
  <c r="W293" i="38" s="1" a="1"/>
  <c r="W293" i="38" s="1"/>
  <c r="AC56" i="36"/>
  <c r="W292" i="38" s="1" a="1"/>
  <c r="W292" i="38" s="1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9" i="38" l="1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W300" i="38" s="1" a="1"/>
  <c r="W300" i="38" s="1"/>
  <c r="AC32" i="36"/>
  <c r="AC33" i="36"/>
  <c r="AC34" i="36"/>
  <c r="AC35" i="36"/>
  <c r="W299" i="38" s="1" a="1"/>
  <c r="W299" i="38" s="1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B41" i="19" l="1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W298" i="38" s="1" a="1"/>
  <c r="W298" i="38" s="1"/>
  <c r="Y27" i="36"/>
  <c r="AC27" i="36" s="1"/>
  <c r="Y26" i="36"/>
  <c r="AC26" i="36" s="1"/>
  <c r="W177" i="38" s="1" a="1"/>
  <c r="W177" i="38" s="1"/>
  <c r="Y25" i="36"/>
  <c r="AC25" i="36" s="1"/>
  <c r="W86" i="38" s="1" a="1"/>
  <c r="W86" i="38" s="1"/>
  <c r="Y24" i="36"/>
  <c r="AC24" i="36" s="1"/>
  <c r="Y23" i="36"/>
  <c r="AC23" i="36" s="1"/>
  <c r="W119" i="38" a="1"/>
  <c r="W119" i="38" s="1"/>
  <c r="AC48" i="36"/>
  <c r="W174" i="38" s="1" a="1"/>
  <c r="W174" i="38" s="1"/>
  <c r="W329" i="38" l="1" a="1"/>
  <c r="W329" i="38" s="1"/>
  <c r="W389" i="38" a="1"/>
  <c r="W389" i="38" s="1"/>
  <c r="P389" i="38" s="1" a="1"/>
  <c r="P389" i="38" s="1"/>
  <c r="W76" i="38" a="1"/>
  <c r="W76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K361" i="38"/>
  <c r="H61" i="38"/>
  <c r="L361" i="38" l="1"/>
  <c r="S67" i="38"/>
  <c r="H1" i="19" a="1"/>
  <c r="H1" i="19" s="1"/>
  <c r="W19" i="38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W67" i="38" l="1" a="1"/>
  <c r="W67" i="38" s="1"/>
  <c r="BA3" i="10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09" i="36" l="1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W457" i="38" s="1" a="1"/>
  <c r="W457" i="38" s="1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K78" i="36"/>
  <c r="J79" i="36"/>
  <c r="K79" i="36"/>
  <c r="J80" i="36"/>
  <c r="K80" i="36"/>
  <c r="J81" i="36"/>
  <c r="K81" i="36"/>
  <c r="J82" i="36"/>
  <c r="K82" i="36"/>
  <c r="J83" i="36"/>
  <c r="K83" i="36"/>
  <c r="J84" i="36"/>
  <c r="K84" i="36"/>
  <c r="J85" i="36"/>
  <c r="K85" i="36"/>
  <c r="J86" i="36"/>
  <c r="K86" i="36"/>
  <c r="J87" i="36"/>
  <c r="K87" i="36"/>
  <c r="J88" i="36"/>
  <c r="K88" i="36"/>
  <c r="J1050" i="36"/>
  <c r="J89" i="36"/>
  <c r="K89" i="36"/>
  <c r="J90" i="36"/>
  <c r="W273" i="38" s="1" a="1"/>
  <c r="W273" i="38" s="1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W61" i="38" s="1" a="1"/>
  <c r="W61" i="38" s="1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51" i="35"/>
  <c r="B50" i="35"/>
  <c r="B58" i="35"/>
  <c r="B47" i="35"/>
  <c r="B59" i="35"/>
  <c r="B53" i="35"/>
  <c r="B48" i="35"/>
  <c r="B56" i="35"/>
  <c r="B52" i="35"/>
  <c r="B49" i="35"/>
  <c r="B60" i="35"/>
  <c r="B46" i="35"/>
  <c r="B55" i="35"/>
  <c r="B57" i="35"/>
  <c r="B54" i="35"/>
  <c r="W63" i="38" l="1" a="1"/>
  <c r="W63" i="38" s="1"/>
  <c r="W64" i="38" a="1"/>
  <c r="W64" i="38" s="1"/>
  <c r="W271" i="38" a="1"/>
  <c r="W271" i="38" s="1"/>
  <c r="W272" i="38" a="1"/>
  <c r="W272" i="38" s="1"/>
  <c r="W427" i="38" a="1"/>
  <c r="W427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G14" i="32"/>
  <c r="G22" i="32"/>
  <c r="G15" i="32"/>
  <c r="K15" i="32" s="1"/>
  <c r="K21" i="32"/>
  <c r="K23" i="32"/>
  <c r="K13" i="32"/>
  <c r="L13" i="32" s="1"/>
  <c r="K19" i="32"/>
  <c r="C56" i="35"/>
  <c r="B31" i="35"/>
  <c r="C31" i="35" s="1"/>
  <c r="C59" i="35"/>
  <c r="Q2294" i="10"/>
  <c r="F23" i="34"/>
  <c r="H13" i="34"/>
  <c r="B44" i="34"/>
  <c r="AM5" i="33"/>
  <c r="AM4" i="33"/>
  <c r="K22" i="32" l="1"/>
  <c r="J22" i="32"/>
  <c r="J16" i="32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B25" i="35"/>
  <c r="B46" i="34"/>
  <c r="G14" i="34"/>
  <c r="H14" i="34" s="1"/>
  <c r="G17" i="34"/>
  <c r="B28" i="33"/>
  <c r="B27" i="33"/>
  <c r="B39" i="33"/>
  <c r="G17" i="33" s="1"/>
  <c r="AN4" i="33"/>
  <c r="B38" i="33" s="1"/>
  <c r="G13" i="33" s="1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K25" i="32" l="1"/>
  <c r="B35" i="34"/>
  <c r="B37" i="34" s="1"/>
  <c r="B38" i="34" s="1"/>
  <c r="B34" i="34"/>
  <c r="F5" i="34"/>
  <c r="F16" i="34"/>
  <c r="B40" i="34"/>
  <c r="I21" i="33"/>
  <c r="G5" i="34"/>
  <c r="G6" i="34"/>
  <c r="H17" i="34"/>
  <c r="F25" i="34"/>
  <c r="B29" i="33"/>
  <c r="B30" i="33" s="1"/>
  <c r="B32" i="33" s="1"/>
  <c r="B35" i="33" a="1"/>
  <c r="B35" i="33" s="1"/>
  <c r="B34" i="33" a="1"/>
  <c r="B34" i="33" s="1"/>
  <c r="B41" i="34" l="1"/>
  <c r="B42" i="34" s="1"/>
  <c r="F15" i="34"/>
  <c r="F6" i="34"/>
  <c r="B47" i="34"/>
  <c r="H5" i="34" s="1"/>
  <c r="I5" i="34" s="1"/>
  <c r="G16" i="34"/>
  <c r="H16" i="34" s="1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478" i="38" l="1"/>
  <c r="V61" i="38"/>
  <c r="V64" i="38"/>
  <c r="P64" i="38" s="1" a="1"/>
  <c r="P64" i="38" s="1"/>
  <c r="V93" i="38"/>
  <c r="V102" i="38"/>
  <c r="V99" i="38"/>
  <c r="V96" i="38"/>
  <c r="V458" i="38"/>
  <c r="P458" i="38" s="1" a="1"/>
  <c r="P458" i="38" s="1"/>
  <c r="V108" i="38"/>
  <c r="V105" i="38"/>
  <c r="V97" i="38"/>
  <c r="V94" i="38"/>
  <c r="V98" i="38"/>
  <c r="V107" i="38"/>
  <c r="F53" i="25"/>
  <c r="F7" i="25"/>
  <c r="F8" i="25"/>
  <c r="F52" i="25"/>
  <c r="V295" i="38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P91" i="38" s="1" a="1"/>
  <c r="P91" i="38" s="1"/>
  <c r="B13" i="1"/>
  <c r="V6" i="38"/>
  <c r="V9" i="38"/>
  <c r="P9" i="38" s="1"/>
  <c r="V92" i="38"/>
  <c r="P99" i="38" a="1"/>
  <c r="P99" i="38" s="1"/>
  <c r="P102" i="38" a="1"/>
  <c r="P102" i="38" s="1"/>
  <c r="P96" i="38" a="1"/>
  <c r="P96" i="38" s="1"/>
  <c r="P105" i="38" a="1"/>
  <c r="P105" i="38" s="1"/>
  <c r="P108" i="38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P97" i="38" a="1"/>
  <c r="P97" i="38" s="1"/>
  <c r="P94" i="38" a="1"/>
  <c r="P94" i="38" s="1"/>
  <c r="V101" i="38"/>
  <c r="P101" i="38" s="1" a="1"/>
  <c r="P101" i="38" s="1"/>
  <c r="P107" i="38" a="1"/>
  <c r="P107" i="38" s="1"/>
  <c r="V95" i="38"/>
  <c r="P95" i="38" s="1" a="1"/>
  <c r="P95" i="38" s="1"/>
  <c r="V104" i="38"/>
  <c r="P104" i="38" s="1" a="1"/>
  <c r="P104" i="38" s="1"/>
  <c r="P98" i="38" a="1"/>
  <c r="P98" i="38" s="1"/>
  <c r="P93" i="38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73" i="38" l="1"/>
  <c r="V467" i="38"/>
  <c r="V468" i="38"/>
  <c r="P468" i="38" s="1" a="1"/>
  <c r="P468" i="38" s="1"/>
  <c r="V469" i="38"/>
  <c r="P469" i="38" s="1" a="1"/>
  <c r="P469" i="38" s="1"/>
  <c r="V470" i="38"/>
  <c r="P470" i="38" s="1" a="1"/>
  <c r="P470" i="38" s="1"/>
  <c r="V471" i="38"/>
  <c r="P471" i="38" s="1" a="1"/>
  <c r="P471" i="38" s="1"/>
  <c r="V472" i="38"/>
  <c r="P472" i="38" s="1" a="1"/>
  <c r="P472" i="38" s="1"/>
  <c r="V474" i="38"/>
  <c r="P474" i="38" s="1" a="1"/>
  <c r="P474" i="38" s="1"/>
  <c r="V475" i="38"/>
  <c r="V479" i="38"/>
  <c r="V476" i="38"/>
  <c r="V62" i="38" a="1"/>
  <c r="V62" i="38" s="1"/>
  <c r="P62" i="38" s="1" a="1"/>
  <c r="P62" i="38" s="1"/>
  <c r="V63" i="38"/>
  <c r="P63" i="38" s="1" a="1"/>
  <c r="P63" i="38" s="1"/>
  <c r="V427" i="38"/>
  <c r="P427" i="38" s="1" a="1"/>
  <c r="P427" i="38" s="1"/>
  <c r="V120" i="38"/>
  <c r="P120" i="38" s="1" a="1"/>
  <c r="P120" i="38" s="1"/>
  <c r="V119" i="38" a="1"/>
  <c r="V119" i="38" s="1"/>
  <c r="P119" i="38" s="1" a="1"/>
  <c r="P119" i="38" s="1"/>
  <c r="V118" i="38"/>
  <c r="S118" i="38" s="1" a="1"/>
  <c r="S118" i="38" s="1"/>
  <c r="P92" i="38" a="1"/>
  <c r="P92" i="38" s="1"/>
  <c r="V477" i="38"/>
  <c r="P477" i="38" s="1" a="1"/>
  <c r="P477" i="38" s="1"/>
  <c r="V457" i="38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V447" i="38"/>
  <c r="P447" i="38" s="1" a="1"/>
  <c r="P447" i="38" s="1"/>
  <c r="P475" i="38" a="1"/>
  <c r="P475" i="38" s="1"/>
  <c r="P453" i="38" a="1"/>
  <c r="P453" i="38" s="1"/>
  <c r="B6" i="35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2" i="38" a="1"/>
  <c r="V2" i="38" s="1"/>
  <c r="V3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109" i="38" l="1" a="1"/>
  <c r="W109" i="38" s="1"/>
  <c r="P109" i="38" s="1" a="1"/>
  <c r="P109" i="38" s="1"/>
  <c r="W65" i="38" a="1"/>
  <c r="W65" i="38" s="1"/>
  <c r="P65" i="38" s="1" a="1"/>
  <c r="P65" i="38" s="1"/>
  <c r="P113" i="38" a="1"/>
  <c r="P113" i="38" s="1"/>
  <c r="T118" i="38" a="1"/>
  <c r="T118" i="38" s="1"/>
  <c r="R118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P476" i="38" a="1"/>
  <c r="P476" i="38" s="1"/>
  <c r="P479" i="38" a="1"/>
  <c r="P479" i="38" s="1"/>
  <c r="P478" i="38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U118" i="38"/>
  <c r="Q118" i="38"/>
  <c r="P393" i="38" a="1"/>
  <c r="P393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P66" i="38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K8" i="35" l="1"/>
  <c r="K6" i="35"/>
  <c r="K9" i="35"/>
  <c r="K7" i="35"/>
  <c r="K5" i="35"/>
  <c r="S5" i="35" s="1"/>
  <c r="K4" i="35"/>
  <c r="S4" i="35" s="1"/>
  <c r="K3" i="35"/>
  <c r="K10" i="35"/>
  <c r="K11" i="35"/>
  <c r="K12" i="35"/>
  <c r="P112" i="38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S3" i="35" l="1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25" i="1" l="1"/>
  <c r="I5" i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I19" i="1"/>
  <c r="B33" i="1" l="1"/>
  <c r="B40" i="1" l="1"/>
  <c r="B35" i="1"/>
  <c r="O25" i="1"/>
  <c r="B37" i="1"/>
  <c r="B51" i="1"/>
  <c r="B53" i="1" s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<sst xmlns="http://schemas.openxmlformats.org/spreadsheetml/2006/main" count="12264" uniqueCount="2152">
  <si>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</si>
  <si>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</si>
  <si>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</si>
  <si>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</si>
  <si>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</si>
  <si>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</si>
  <si>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</si>
  <si>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</si>
  <si>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</si>
  <si>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</si>
  <si>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</si>
  <si>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</si>
  <si>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</si>
  <si>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</si>
  <si>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</si>
  <si>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</si>
  <si>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</si>
  <si>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</si>
  <si>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</si>
  <si>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</si>
  <si>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</si>
  <si>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</si>
  <si>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</si>
  <si>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</si>
  <si>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</si>
  <si>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</si>
  <si>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</si>
  <si>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</si>
  <si>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</si>
  <si>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</si>
  <si>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</si>
  <si>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</si>
  <si>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</si>
  <si>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</si>
  <si>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</si>
  <si>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</si>
  <si>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</si>
  <si>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</si>
  <si>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</si>
  <si>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</si>
  <si>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</si>
  <si>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</si>
  <si>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</si>
  <si>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</si>
  <si>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</si>
  <si>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</si>
  <si>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</si>
  <si>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</si>
  <si>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</si>
  <si>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</si>
  <si>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</si>
  <si>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</si>
  <si>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</si>
  <si>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</si>
  <si>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</si>
  <si>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</si>
  <si>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</si>
  <si>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</si>
  <si>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</si>
  <si>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</si>
  <si>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</si>
  <si>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</si>
  <si>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</si>
  <si>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</si>
  <si>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</si>
  <si>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</si>
  <si>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</si>
  <si>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</si>
  <si>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</si>
  <si>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</si>
  <si>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</si>
  <si>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</si>
  <si>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</si>
  <si>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</si>
  <si>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</si>
  <si>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</si>
  <si>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</si>
  <si>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</si>
  <si>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</si>
  <si>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</si>
  <si>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</si>
  <si>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</si>
  <si>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</si>
  <si>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</si>
  <si>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</si>
  <si>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</si>
  <si>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</si>
  <si>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</si>
  <si>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</si>
  <si>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</si>
  <si>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</si>
  <si>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</si>
  <si>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</si>
  <si>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</si>
  <si>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</si>
  <si>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</si>
  <si>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</si>
  <si>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</si>
  <si>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</si>
  <si>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</si>
  <si>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</si>
  <si>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</si>
  <si>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</si>
  <si>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</si>
  <si>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</si>
  <si>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</si>
  <si>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</si>
  <si>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</si>
  <si>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</si>
  <si>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</si>
  <si>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</si>
  <si>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</si>
  <si>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</si>
  <si>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</si>
  <si>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</si>
  <si>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</si>
  <si>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</si>
  <si>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</si>
  <si>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</si>
  <si>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</si>
  <si>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</si>
  <si>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</si>
  <si>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</si>
  <si>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</si>
  <si>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</si>
  <si>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</si>
  <si>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</si>
  <si>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</si>
  <si>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</si>
  <si>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</si>
  <si>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</si>
  <si>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</si>
  <si>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</si>
  <si>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</si>
  <si>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</si>
  <si>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</si>
  <si>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</si>
  <si>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</si>
  <si>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</si>
  <si>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</si>
  <si>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</si>
  <si>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</si>
  <si>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</si>
  <si>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</si>
  <si>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</si>
  <si>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</si>
  <si>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</si>
  <si>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</si>
  <si>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</si>
  <si>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</si>
  <si>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</si>
  <si>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</si>
  <si>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</si>
  <si>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</si>
  <si>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</si>
  <si>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</si>
  <si>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</si>
  <si>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</si>
  <si>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</si>
  <si>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</si>
  <si>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</si>
  <si>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</si>
  <si>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</si>
  <si>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</si>
  <si>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</si>
  <si>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</si>
  <si>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</si>
  <si>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</si>
  <si>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</si>
  <si>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</si>
  <si>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</si>
  <si>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</si>
  <si>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</si>
  <si>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</si>
  <si>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</si>
  <si>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</si>
  <si>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</si>
  <si>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</si>
  <si>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</si>
  <si>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</si>
  <si>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</si>
  <si>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</si>
  <si>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</si>
  <si>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</si>
  <si>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</si>
  <si>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</si>
  <si>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</si>
  <si>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</si>
  <si>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</si>
  <si>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</si>
  <si>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</si>
  <si>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</si>
  <si>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</si>
  <si>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</si>
  <si>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</si>
  <si>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</si>
  <si>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</si>
  <si>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</si>
  <si>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</si>
  <si>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</si>
  <si>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</si>
  <si>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</si>
  <si>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</si>
  <si>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</si>
  <si>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</si>
  <si>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</si>
  <si>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</si>
  <si>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</si>
  <si>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</si>
  <si>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</si>
  <si>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</si>
  <si>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</si>
  <si>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</si>
  <si>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</si>
  <si>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</si>
  <si>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</si>
  <si>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</si>
  <si>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</si>
  <si>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</si>
  <si>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</si>
  <si>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</si>
  <si>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</si>
  <si>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</si>
  <si>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</si>
  <si>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</si>
  <si>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</si>
  <si>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</si>
  <si>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</si>
  <si>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</si>
  <si>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</si>
  <si>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</si>
  <si>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</si>
  <si>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</si>
  <si>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</si>
  <si>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</si>
  <si>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</si>
  <si>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</si>
  <si>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</si>
  <si>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</si>
  <si>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</si>
  <si>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</si>
  <si>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</si>
  <si>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</si>
  <si>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</si>
  <si>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</si>
  <si>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</si>
  <si>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</si>
  <si>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</si>
  <si>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</si>
  <si>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</si>
  <si>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</si>
  <si>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</si>
  <si>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</si>
  <si>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</si>
  <si>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</si>
  <si>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</si>
  <si>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</si>
  <si>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</si>
  <si>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</si>
  <si>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</si>
  <si>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</si>
  <si>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</si>
  <si>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</si>
  <si>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</si>
  <si>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</si>
  <si>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</si>
  <si>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</si>
  <si>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</si>
  <si>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</si>
  <si>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</si>
  <si>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</si>
  <si>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</si>
  <si>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</si>
  <si>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</si>
  <si>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</si>
  <si>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</si>
  <si>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</si>
  <si>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</si>
  <si>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</si>
  <si>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</si>
  <si>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</si>
  <si>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</si>
  <si>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</si>
  <si>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</si>
  <si>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</si>
  <si>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</si>
  <si>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</si>
  <si>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</si>
  <si>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</si>
  <si>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</si>
  <si>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</si>
  <si>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</si>
  <si>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</si>
  <si>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</si>
  <si>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</si>
  <si>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</si>
  <si>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</si>
  <si>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</si>
  <si>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</si>
  <si>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</si>
  <si>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</si>
  <si>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</si>
  <si>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</si>
  <si>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</si>
  <si>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</si>
  <si>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</si>
  <si>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</si>
  <si>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</si>
  <si>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</si>
  <si>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</si>
  <si>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</si>
  <si>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</si>
  <si>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</si>
  <si>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</si>
  <si>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</si>
  <si>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</si>
  <si>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</si>
  <si>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</si>
  <si>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</si>
  <si>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</si>
  <si>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</si>
  <si>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</si>
  <si>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</si>
  <si>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</si>
  <si>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</si>
  <si>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</si>
  <si>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</si>
  <si>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</si>
  <si>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</si>
  <si>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</si>
  <si>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</si>
  <si>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</si>
  <si>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</si>
  <si>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</si>
  <si>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</si>
  <si>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</si>
  <si>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</si>
  <si>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</si>
  <si>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</si>
  <si>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</si>
  <si>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</si>
  <si>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</si>
  <si>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</si>
  <si>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</si>
  <si>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</si>
  <si>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</si>
  <si>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</si>
  <si>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</si>
  <si>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</si>
  <si>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</si>
  <si>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</si>
  <si>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</si>
  <si>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</si>
  <si>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</si>
  <si>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</si>
  <si>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</si>
  <si>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</si>
  <si>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</si>
  <si>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</si>
  <si>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</si>
  <si>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</si>
  <si>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</si>
  <si>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</si>
  <si>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</si>
  <si>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</si>
  <si>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</si>
  <si>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</si>
  <si>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</si>
  <si>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</si>
  <si>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</si>
  <si>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</si>
  <si>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</si>
  <si>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</si>
  <si>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</si>
  <si>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</si>
  <si>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</si>
  <si>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</si>
  <si>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</si>
  <si>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</si>
  <si>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</si>
  <si>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</si>
  <si>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</si>
  <si>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</si>
  <si>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</si>
  <si>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</si>
  <si>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</si>
  <si>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</si>
  <si>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</si>
  <si>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</si>
  <si>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</si>
  <si>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</si>
  <si>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</si>
  <si>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</si>
  <si>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</si>
  <si>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</si>
  <si>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</si>
  <si>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</si>
  <si>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</si>
  <si>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</si>
  <si>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</si>
  <si>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</si>
  <si>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</si>
  <si>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</si>
  <si>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</si>
  <si>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</si>
  <si>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</si>
  <si>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</si>
  <si>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</si>
  <si>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</si>
  <si>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</si>
  <si>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</si>
  <si>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</si>
  <si>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</si>
  <si>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</si>
  <si>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</si>
  <si>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</si>
  <si>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</si>
  <si>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</si>
  <si>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</si>
  <si>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</si>
  <si>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</si>
  <si>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</si>
  <si>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</si>
  <si>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</si>
  <si>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</si>
  <si>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</si>
  <si>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</si>
  <si>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</si>
  <si>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</si>
  <si>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</si>
  <si>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</si>
  <si>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</si>
  <si>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</si>
  <si>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</si>
  <si>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</si>
  <si>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</si>
  <si>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</si>
  <si>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</si>
  <si>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</si>
  <si>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</si>
  <si>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</si>
  <si>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</si>
  <si>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</si>
  <si>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</si>
  <si>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</si>
  <si>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</si>
  <si>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</si>
  <si>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</si>
  <si>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</si>
  <si>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</si>
  <si>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</si>
  <si>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</si>
  <si>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</si>
  <si>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</si>
  <si>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</si>
  <si>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</si>
  <si>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</si>
  <si>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</si>
  <si>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</si>
  <si>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</si>
  <si>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</si>
  <si>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</si>
  <si>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</si>
  <si>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</si>
  <si>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</si>
  <si>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</si>
  <si>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</si>
  <si>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</si>
  <si>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</si>
  <si>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</si>
  <si>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</si>
  <si>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</si>
  <si>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</si>
  <si>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</si>
  <si>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</si>
  <si>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</si>
  <si>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</si>
  <si>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</si>
  <si>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</si>
  <si>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</si>
  <si>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</si>
  <si>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</si>
  <si>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</si>
  <si>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</si>
  <si>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</si>
  <si>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</si>
  <si>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</si>
  <si>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</si>
  <si>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</si>
  <si>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</si>
  <si>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</si>
  <si>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</si>
  <si>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</si>
  <si>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</si>
  <si>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</si>
  <si>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</si>
  <si>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</si>
  <si>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</si>
  <si>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</si>
  <si>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</si>
  <si>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</si>
  <si>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</si>
  <si>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</si>
  <si>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</si>
  <si>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</si>
  <si>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</si>
  <si>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</si>
  <si>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</si>
  <si>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</si>
  <si>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</si>
  <si>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</si>
  <si>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</si>
  <si>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</si>
  <si>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</si>
  <si>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</si>
  <si>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</si>
  <si>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</si>
  <si>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</si>
  <si>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</si>
  <si>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</si>
  <si>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</si>
  <si>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</si>
  <si>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</si>
  <si>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</si>
  <si>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</si>
  <si>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</si>
  <si>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</si>
  <si>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</si>
  <si>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</si>
  <si>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</si>
  <si>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</si>
  <si>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</si>
  <si>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</si>
  <si>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</si>
  <si>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</si>
  <si>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</si>
  <si>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</si>
  <si>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</si>
  <si>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</si>
  <si>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</si>
  <si>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</si>
  <si>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</si>
  <si>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</si>
  <si>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</si>
  <si>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</si>
  <si>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</si>
  <si>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</si>
  <si>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</si>
  <si>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</si>
  <si>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</si>
  <si>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</si>
  <si>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</si>
  <si>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</si>
  <si>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</si>
  <si>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</si>
  <si>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</si>
  <si>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</si>
  <si>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</si>
  <si>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</si>
  <si>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</si>
  <si>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</si>
  <si>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</si>
  <si>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</si>
  <si>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</si>
  <si>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</si>
  <si>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</si>
  <si>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</si>
  <si>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</si>
  <si>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</si>
  <si>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</si>
  <si>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</si>
  <si>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</si>
  <si>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</si>
  <si>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</si>
  <si>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</si>
  <si>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</si>
  <si>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</si>
  <si>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</si>
  <si>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</si>
  <si>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</si>
  <si>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</si>
  <si>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</si>
  <si>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</si>
  <si>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</si>
  <si>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</si>
  <si>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</si>
  <si>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</si>
  <si>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</si>
  <si>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</si>
  <si>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</si>
  <si>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</si>
  <si>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</si>
  <si>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</si>
  <si>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</si>
  <si>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</si>
  <si>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</si>
  <si>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</si>
  <si>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</si>
  <si>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</si>
  <si>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</si>
  <si>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</si>
  <si>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</si>
  <si>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</si>
  <si>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</si>
  <si>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</si>
  <si>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</si>
  <si>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</si>
  <si>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</si>
  <si>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</si>
  <si>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</si>
  <si>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</si>
  <si>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</si>
  <si>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</si>
  <si>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</si>
  <si>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</si>
  <si>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</si>
  <si>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</si>
  <si>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</si>
  <si>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</si>
  <si>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</si>
  <si>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</si>
  <si>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</si>
  <si>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</si>
  <si>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</si>
  <si>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</si>
  <si>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</si>
  <si>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</si>
  <si>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</si>
  <si>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</si>
  <si>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</si>
  <si>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</si>
  <si>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</si>
  <si>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</si>
  <si>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</si>
  <si>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</si>
  <si>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</si>
  <si>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</si>
  <si>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</si>
  <si>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</si>
  <si>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</si>
  <si>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</si>
  <si>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</si>
  <si>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</si>
  <si>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</si>
  <si>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</si>
  <si>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</si>
  <si>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</si>
  <si>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</si>
  <si>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</si>
  <si>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</si>
  <si>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</si>
  <si>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</si>
  <si>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</si>
  <si>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</si>
  <si>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</si>
  <si>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</si>
  <si>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</si>
  <si>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</si>
  <si>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</si>
  <si>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</si>
  <si>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</si>
  <si>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</si>
  <si>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</si>
  <si>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</si>
  <si>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</si>
  <si>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</si>
  <si>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</si>
  <si>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</si>
  <si>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</si>
  <si>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</si>
  <si>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</si>
  <si>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</si>
  <si>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</si>
  <si>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</si>
  <si>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</si>
  <si>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</si>
  <si>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</si>
  <si>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</si>
  <si>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</si>
  <si>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</si>
  <si>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</si>
  <si>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</si>
  <si>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</si>
  <si>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</si>
  <si>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</si>
  <si>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</si>
  <si>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</si>
  <si>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</si>
  <si>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</si>
  <si>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</si>
  <si>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</si>
  <si>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</si>
  <si>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</si>
  <si>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</si>
  <si>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</si>
  <si>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</si>
  <si>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</si>
  <si>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</si>
  <si>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</si>
  <si>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</si>
  <si>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</si>
  <si>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</si>
  <si>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</si>
  <si>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</si>
  <si>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</si>
  <si>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</si>
  <si>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</si>
  <si>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</si>
  <si>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</si>
  <si>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</si>
  <si>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</si>
  <si>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</si>
  <si>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</si>
  <si>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</si>
  <si>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</si>
  <si>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</si>
  <si>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</si>
  <si>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</si>
  <si>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</si>
  <si>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</si>
  <si>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</si>
  <si>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</si>
  <si>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</si>
  <si>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</si>
  <si>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</si>
  <si>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</si>
  <si>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</si>
  <si>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</si>
  <si>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</si>
  <si>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</si>
  <si>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</si>
  <si>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</si>
  <si>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</si>
  <si>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</si>
  <si>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</si>
  <si>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</si>
  <si>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</si>
  <si>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</si>
  <si>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</si>
  <si>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</si>
  <si>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</si>
  <si>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</si>
  <si>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</si>
  <si>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</si>
  <si>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</si>
  <si>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</si>
  <si>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</si>
  <si>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</si>
  <si>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</si>
  <si>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</si>
  <si>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</si>
  <si>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</si>
  <si>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</si>
  <si>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</si>
  <si>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</si>
  <si>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</si>
  <si>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</si>
  <si>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</si>
  <si>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</si>
  <si>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</si>
  <si>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</si>
  <si>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</si>
  <si>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</si>
  <si>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</si>
  <si>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</si>
  <si>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</si>
  <si>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</si>
  <si>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</si>
  <si>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</si>
  <si>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</si>
  <si>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</si>
  <si>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</si>
  <si>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</si>
  <si>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</si>
  <si>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</si>
  <si>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</si>
  <si>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</si>
  <si>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</si>
  <si>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</si>
  <si>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</si>
  <si>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</si>
  <si>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</si>
  <si>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</si>
  <si>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</si>
  <si>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</si>
  <si>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</si>
  <si>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</si>
  <si>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</si>
  <si>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</si>
  <si>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</si>
  <si>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</si>
  <si>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</si>
  <si>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</si>
  <si>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</si>
  <si>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</si>
  <si>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</si>
  <si>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</si>
  <si>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</si>
  <si>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</si>
  <si>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</si>
  <si>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</si>
  <si>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</si>
  <si>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</si>
  <si>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</si>
  <si>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</si>
  <si>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</si>
  <si>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</si>
  <si>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</si>
  <si>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</si>
  <si>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</si>
  <si>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</si>
  <si>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</si>
  <si>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</si>
  <si>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</si>
  <si>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</si>
  <si>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</si>
  <si>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</si>
  <si>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</si>
  <si>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</si>
  <si>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</si>
  <si>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</si>
  <si>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</si>
  <si>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</si>
  <si>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</si>
  <si>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</si>
  <si>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</si>
  <si>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</si>
  <si>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</si>
  <si>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</si>
  <si>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</si>
  <si>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</si>
  <si>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</si>
  <si>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</si>
  <si>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</si>
  <si>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</si>
  <si>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</si>
  <si>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</si>
  <si>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</si>
  <si>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</si>
  <si>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</si>
  <si>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</si>
  <si>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</si>
  <si>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</si>
  <si>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</si>
  <si>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</si>
  <si>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</si>
  <si>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</si>
  <si>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</si>
  <si>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</si>
  <si>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</si>
  <si>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</si>
  <si>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</si>
  <si>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</si>
  <si>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</si>
  <si>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</si>
  <si>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</si>
  <si>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</si>
  <si>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</si>
  <si>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</si>
  <si>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</si>
  <si>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</si>
  <si>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</si>
  <si>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</si>
  <si>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</si>
  <si>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</si>
  <si>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</si>
  <si>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</si>
  <si>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</si>
  <si>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</si>
  <si>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</si>
  <si>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</si>
  <si>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</si>
  <si>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</si>
  <si>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</si>
  <si>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</si>
  <si>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</si>
  <si>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</si>
  <si>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</si>
  <si>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</si>
  <si>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</si>
  <si>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</si>
  <si>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</si>
  <si>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</si>
  <si>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</si>
  <si>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</si>
  <si>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</si>
  <si>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</si>
  <si>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</si>
  <si>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</si>
  <si>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</si>
  <si>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</si>
  <si>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</si>
  <si>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</si>
  <si>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</si>
  <si>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</si>
  <si>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</si>
  <si>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</si>
  <si>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</si>
  <si>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</si>
  <si>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</si>
  <si>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</si>
  <si>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</si>
  <si>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</si>
  <si>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</si>
  <si>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</si>
  <si>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</si>
  <si>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</si>
  <si>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</si>
  <si>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</si>
  <si>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</si>
  <si>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</si>
  <si>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</si>
  <si>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</si>
  <si>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</si>
  <si>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</si>
  <si>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</si>
  <si>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</si>
  <si>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</si>
  <si>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</si>
  <si>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</si>
  <si>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</si>
  <si>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</si>
  <si>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</si>
  <si>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</si>
  <si>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</si>
  <si>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</si>
  <si>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</si>
  <si>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</si>
  <si>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</si>
  <si>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</si>
  <si>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</si>
  <si>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</si>
  <si>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</si>
  <si>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</si>
  <si>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</si>
  <si>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</si>
  <si>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</si>
  <si>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</si>
  <si>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</si>
  <si>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</si>
  <si>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</si>
  <si>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</si>
  <si>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</si>
  <si>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</si>
  <si>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</si>
  <si>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</si>
  <si>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</si>
  <si>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</si>
  <si>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</si>
  <si>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</si>
  <si>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</si>
  <si>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</si>
  <si>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</si>
  <si>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</si>
  <si>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</si>
  <si>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</si>
  <si>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</si>
  <si>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</si>
  <si>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</si>
  <si>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</si>
  <si>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</si>
  <si>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</si>
  <si>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</si>
  <si>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</si>
  <si>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</si>
  <si>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</si>
  <si>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</si>
  <si>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</si>
  <si>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</si>
  <si>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</si>
  <si>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</si>
  <si>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</si>
  <si>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</si>
  <si>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</si>
  <si>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</si>
  <si>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</si>
  <si>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</si>
  <si>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</si>
  <si>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</si>
  <si>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</si>
  <si>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</si>
  <si>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</si>
  <si>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</si>
  <si>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</si>
  <si>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</si>
  <si>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</si>
  <si>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</si>
  <si>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</si>
  <si>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</si>
  <si>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</si>
  <si>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</si>
  <si>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</si>
  <si>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</si>
  <si>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</si>
  <si>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</si>
  <si>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</si>
  <si>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</si>
  <si>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</si>
  <si>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</si>
  <si>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</si>
  <si>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</si>
  <si>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</si>
  <si>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</si>
  <si>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</si>
  <si>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</si>
  <si>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</si>
  <si>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</si>
  <si>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</si>
  <si>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</si>
  <si>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</si>
  <si>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</si>
  <si>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</si>
  <si>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</si>
  <si>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</si>
  <si>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</si>
  <si>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</si>
  <si>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</si>
  <si>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</si>
  <si>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</si>
  <si>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</si>
  <si>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</si>
  <si>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</si>
  <si>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</si>
  <si>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</si>
  <si>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</si>
  <si>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</si>
  <si>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</si>
  <si>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</si>
  <si>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</si>
  <si>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</si>
  <si>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</si>
  <si>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</si>
  <si>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</si>
  <si>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</si>
  <si>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</si>
  <si>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</si>
  <si>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</si>
  <si>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</si>
  <si>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</si>
  <si>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</si>
  <si>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</si>
  <si>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</si>
  <si>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</si>
  <si>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</si>
  <si>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</si>
  <si>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</si>
  <si>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</si>
  <si>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</si>
  <si>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</si>
  <si>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</si>
  <si>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</si>
  <si>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</si>
  <si>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</si>
  <si>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</si>
  <si>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</si>
  <si>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</si>
  <si>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</si>
  <si>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</si>
  <si>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</si>
  <si>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</si>
  <si>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</si>
  <si>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</si>
  <si>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</si>
  <si>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</si>
  <si>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</si>
  <si>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</si>
  <si>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</si>
  <si>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</si>
  <si>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</si>
  <si>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</si>
  <si>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</si>
  <si>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</si>
  <si>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</si>
  <si>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</si>
  <si>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</si>
  <si>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</si>
  <si>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</si>
  <si>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</si>
  <si>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</si>
  <si>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</si>
  <si>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</si>
  <si>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</si>
  <si>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</si>
  <si>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</si>
  <si>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</si>
  <si>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</si>
  <si>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</si>
  <si>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</si>
  <si>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</si>
  <si>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</si>
  <si>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</si>
  <si>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</si>
  <si>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</si>
  <si>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</si>
  <si>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</si>
  <si>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</si>
  <si>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</si>
  <si>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</si>
  <si>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</si>
  <si>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</si>
  <si>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</si>
  <si>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</si>
  <si>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</si>
  <si>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</si>
  <si>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</si>
  <si>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</si>
  <si>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</si>
  <si>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</si>
  <si>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</si>
  <si>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</si>
  <si>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</si>
  <si>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</si>
  <si>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</si>
  <si>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</si>
  <si>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</si>
  <si>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</si>
  <si>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</si>
  <si>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</si>
  <si>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</si>
  <si>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</si>
  <si>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</si>
  <si>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</si>
  <si>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</si>
  <si>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</si>
  <si>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</si>
  <si>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</si>
  <si>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</si>
  <si>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</si>
  <si>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</si>
  <si>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</si>
  <si>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</si>
  <si>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</si>
  <si>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</si>
  <si>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</si>
  <si>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</si>
  <si>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</si>
  <si>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</si>
  <si>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</si>
  <si>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</si>
  <si>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</si>
  <si>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</si>
  <si>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</si>
  <si>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</si>
  <si>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</si>
  <si>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</si>
  <si>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</si>
  <si>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</si>
  <si>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</si>
  <si>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</si>
  <si>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</si>
  <si>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</si>
  <si>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</si>
  <si>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</si>
  <si>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</si>
  <si>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</si>
  <si>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</si>
  <si>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</si>
  <si>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</si>
  <si>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</si>
  <si>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</si>
  <si>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</si>
  <si>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</si>
  <si>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</si>
  <si>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</si>
  <si>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</si>
  <si>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</si>
  <si>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</si>
  <si>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</si>
  <si>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</si>
  <si>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</si>
  <si>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</si>
  <si>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</si>
  <si>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</si>
  <si>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</si>
  <si>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</si>
  <si>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</si>
  <si>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</si>
  <si>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</si>
  <si>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</si>
  <si>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</si>
  <si>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</si>
  <si>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</si>
  <si>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</si>
  <si>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</si>
  <si>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</si>
  <si>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</si>
  <si>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</si>
  <si>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</si>
  <si>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</si>
  <si>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</si>
  <si>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</si>
  <si>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</si>
  <si>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</si>
  <si>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</si>
  <si>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</si>
  <si>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</si>
  <si>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</si>
  <si>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</si>
  <si>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</si>
  <si>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</si>
  <si>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</si>
  <si>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</si>
  <si>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</si>
  <si>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</si>
  <si>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</si>
  <si>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</si>
  <si>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</si>
  <si>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</si>
  <si>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</si>
  <si>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</si>
  <si>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</si>
  <si>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</si>
  <si>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</si>
  <si>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</si>
  <si>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</si>
  <si>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</si>
  <si>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</si>
  <si>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</si>
  <si>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</si>
  <si>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</si>
  <si>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</si>
  <si>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</si>
  <si>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</si>
  <si>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</si>
  <si>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</si>
  <si>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</si>
  <si>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</si>
  <si>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</si>
  <si>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</si>
  <si>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</si>
  <si>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</si>
  <si>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</si>
  <si>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</si>
  <si>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</si>
  <si>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</si>
  <si>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</si>
  <si>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</si>
  <si>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</si>
  <si>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</si>
  <si>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</si>
  <si>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</si>
  <si>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</si>
  <si>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</si>
  <si>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</si>
  <si>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</si>
  <si>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</si>
  <si>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</si>
  <si>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</si>
  <si>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</si>
  <si>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</si>
  <si>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</si>
  <si>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</si>
  <si>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</si>
  <si>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</si>
  <si>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</si>
  <si>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</si>
  <si>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</si>
  <si>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</si>
  <si>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</si>
  <si>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</si>
  <si>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</si>
  <si>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</si>
  <si>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</si>
  <si>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</si>
  <si>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</si>
  <si>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</si>
  <si>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</si>
  <si>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</si>
  <si>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</si>
  <si>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</si>
  <si>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</si>
  <si>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</si>
  <si>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</si>
  <si>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</si>
  <si>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</si>
  <si>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</si>
  <si>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</si>
  <si>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</si>
  <si>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</si>
  <si>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</si>
  <si>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</si>
  <si>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</si>
  <si>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</si>
  <si>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</si>
  <si>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</si>
  <si>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</si>
  <si>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</si>
  <si>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</si>
  <si>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</si>
  <si>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</si>
  <si>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</si>
  <si>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</si>
  <si>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</si>
  <si>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</si>
  <si>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</si>
  <si>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</si>
  <si>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</si>
  <si>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</si>
  <si>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</si>
  <si>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</si>
  <si>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</si>
  <si>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</si>
  <si>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</si>
  <si>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</si>
  <si>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</si>
  <si>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</si>
  <si>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</si>
  <si>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</si>
  <si>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</si>
  <si>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</si>
  <si>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</si>
  <si>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</si>
  <si>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</si>
  <si>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</si>
  <si>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</si>
  <si>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</si>
  <si>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</si>
  <si>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</si>
  <si>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</si>
  <si>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</si>
  <si>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</si>
  <si>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</si>
  <si>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</si>
  <si>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</si>
  <si>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</si>
  <si>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</si>
  <si>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</si>
  <si>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</si>
  <si>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</si>
  <si>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</si>
  <si>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</si>
  <si>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</si>
  <si>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</si>
  <si>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</si>
  <si>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</si>
  <si>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</si>
  <si>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</si>
  <si>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</si>
  <si>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</si>
  <si>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</si>
  <si>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</si>
  <si>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</si>
  <si>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</si>
  <si>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</si>
  <si>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</si>
  <si>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</si>
  <si>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</si>
  <si>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</si>
  <si>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</si>
  <si>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</si>
  <si>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</si>
  <si>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</si>
  <si>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</si>
  <si>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</si>
  <si>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</si>
  <si>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</si>
  <si>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</si>
  <si>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</si>
  <si>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</si>
  <si>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</si>
  <si>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</si>
  <si>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</si>
  <si>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</si>
  <si>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</si>
  <si>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</si>
  <si>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</si>
  <si>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</si>
  <si>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</si>
  <si>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</si>
  <si>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</si>
  <si>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</si>
  <si>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</si>
  <si>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</si>
  <si>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</si>
  <si>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</si>
  <si>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</si>
  <si>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</si>
  <si>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</si>
  <si>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</si>
  <si>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</si>
  <si>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</si>
  <si>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</si>
  <si>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</si>
  <si>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</si>
  <si>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</si>
  <si>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</si>
  <si>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</si>
  <si>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</si>
  <si>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</si>
  <si>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</si>
  <si>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</si>
  <si>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</si>
  <si>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</si>
  <si>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</si>
  <si>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</si>
  <si>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</si>
  <si>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</si>
  <si>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</si>
  <si>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</si>
  <si>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</si>
  <si>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</si>
  <si>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</si>
  <si>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</si>
  <si>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</si>
  <si>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</si>
  <si>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</si>
  <si>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</si>
  <si>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</si>
  <si>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</si>
  <si>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</si>
  <si>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</si>
  <si>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</si>
  <si>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</si>
  <si>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</si>
  <si>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</si>
  <si>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</si>
  <si>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</si>
  <si>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</si>
  <si>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</si>
  <si>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</si>
  <si>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</si>
  <si>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</si>
  <si>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</si>
  <si>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</si>
  <si>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</si>
  <si>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</si>
  <si>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</si>
  <si>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</si>
  <si>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</si>
  <si>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</si>
  <si>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</si>
  <si>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</si>
  <si>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</si>
  <si>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</si>
  <si>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</si>
  <si>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</si>
  <si>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</si>
  <si>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</si>
  <si>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</si>
  <si>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</si>
  <si>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</si>
  <si>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</si>
  <si>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</si>
  <si>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</si>
  <si>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</si>
  <si>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</si>
  <si>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</si>
  <si>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</si>
  <si>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</si>
  <si>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</si>
  <si>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</si>
  <si>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</si>
  <si>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</si>
  <si>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</si>
  <si>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</si>
  <si>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</si>
  <si>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</si>
  <si>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</si>
  <si>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</si>
  <si>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</si>
  <si>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</si>
  <si>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</si>
  <si>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</si>
  <si>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</si>
  <si>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</si>
  <si>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</si>
  <si>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</si>
  <si>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</si>
  <si>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</si>
  <si>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</si>
  <si>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</si>
  <si>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</si>
  <si>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</si>
  <si>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</si>
  <si>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</si>
  <si>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</si>
  <si>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</si>
  <si>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</si>
  <si>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</si>
  <si>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</si>
  <si>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</si>
  <si>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</si>
  <si>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</si>
  <si>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</si>
  <si>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</si>
  <si>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</si>
  <si>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</si>
  <si>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</si>
  <si>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</si>
  <si>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</si>
  <si>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</si>
  <si>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</si>
  <si>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</si>
  <si>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</si>
  <si>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</si>
  <si>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</si>
  <si>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</si>
  <si>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</si>
  <si>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</si>
  <si>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</si>
  <si>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</si>
  <si>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</si>
  <si>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</si>
  <si>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</si>
  <si>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</si>
  <si>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</si>
  <si>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</si>
  <si>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</si>
  <si>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</si>
  <si>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</si>
  <si>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</si>
  <si>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</si>
  <si>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</si>
  <si>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</si>
  <si>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</si>
  <si>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</si>
  <si>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</si>
  <si>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</si>
  <si>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</si>
  <si>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</si>
  <si>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</si>
  <si>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</si>
  <si>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</si>
  <si>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</si>
  <si>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</si>
  <si>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</si>
  <si>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</si>
  <si>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</si>
  <si>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</si>
  <si>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</si>
  <si>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</si>
  <si>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</si>
  <si>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</si>
  <si>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</si>
  <si>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</si>
  <si>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</si>
  <si>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</si>
  <si>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</si>
  <si>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</si>
  <si>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</si>
  <si>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</si>
  <si>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</si>
  <si>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</si>
  <si>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</si>
  <si>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</si>
  <si>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</si>
  <si>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</si>
  <si>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</si>
  <si>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</si>
  <si>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</si>
  <si>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</si>
  <si>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</si>
  <si>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</si>
  <si>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</si>
  <si>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</si>
  <si>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</si>
  <si>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</si>
  <si>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</si>
  <si>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</si>
  <si>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</si>
  <si>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</si>
  <si>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</si>
  <si>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</si>
  <si>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</si>
  <si>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</si>
  <si>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</si>
  <si>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</si>
  <si>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</si>
  <si>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</si>
  <si>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</si>
  <si>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</si>
  <si>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</si>
  <si>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</si>
  <si>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</si>
  <si>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</si>
  <si>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</si>
  <si>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</si>
  <si>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</si>
  <si>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</si>
  <si>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</si>
  <si>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</si>
  <si>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</si>
  <si>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</si>
  <si>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</si>
  <si>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</si>
  <si>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</si>
  <si>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</si>
  <si>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</si>
  <si>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</si>
  <si>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</si>
  <si>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</si>
  <si>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</si>
  <si>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</si>
  <si>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</si>
  <si>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</si>
  <si>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</si>
  <si>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</si>
  <si>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</si>
  <si>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</si>
  <si>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</si>
  <si>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</si>
  <si>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</si>
  <si>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</si>
  <si>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</si>
  <si>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</si>
  <si>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</si>
  <si>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</si>
  <si>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</si>
  <si>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</si>
  <si>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</si>
  <si>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</si>
  <si>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</si>
  <si>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</si>
  <si>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</si>
  <si>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</si>
  <si>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</si>
  <si>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</si>
  <si>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</si>
  <si>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</si>
  <si>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</si>
  <si>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</si>
  <si>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</si>
  <si>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</si>
  <si>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</si>
  <si>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</si>
  <si>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</si>
  <si>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</si>
  <si>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</si>
  <si>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</si>
  <si>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</si>
  <si>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</si>
  <si>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</si>
  <si>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</si>
  <si>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</si>
  <si>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</si>
  <si>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</si>
  <si>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</si>
  <si>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</si>
  <si>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</si>
  <si>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</si>
  <si>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</si>
  <si>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</si>
  <si>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</si>
  <si>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</si>
  <si>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</si>
  <si>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</si>
  <si>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</si>
  <si>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</si>
  <si>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</si>
  <si>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</si>
  <si>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</si>
  <si>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</si>
  <si>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</si>
  <si>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</si>
  <si>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</si>
  <si>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</si>
  <si>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</si>
  <si>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</si>
  <si>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</si>
  <si>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</si>
  <si>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</si>
  <si>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</si>
  <si>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</si>
  <si>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</si>
  <si>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</si>
  <si>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</si>
  <si>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</si>
  <si>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</si>
  <si>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</si>
  <si>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</si>
  <si>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</si>
  <si>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</si>
  <si>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</si>
  <si>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</si>
  <si>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</si>
  <si>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</si>
  <si>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</si>
  <si>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</si>
  <si>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</si>
  <si>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</si>
  <si>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</si>
  <si>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</si>
  <si>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</si>
  <si>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</si>
  <si>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</si>
  <si>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</si>
  <si>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</si>
  <si>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</si>
  <si>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</si>
  <si>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</si>
  <si>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</si>
  <si>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</si>
  <si>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</si>
  <si>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</si>
  <si>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</si>
  <si>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</si>
  <si>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</si>
  <si>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</si>
  <si>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</si>
  <si>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</si>
  <si>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</si>
  <si>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</si>
  <si>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</si>
  <si>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</si>
  <si>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</si>
  <si>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</si>
  <si>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</si>
  <si>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</si>
  <si>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</si>
  <si>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</si>
  <si>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</si>
  <si>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</si>
  <si>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</si>
  <si>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</si>
  <si>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</si>
  <si>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</si>
  <si>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</si>
  <si>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</si>
  <si>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</si>
  <si>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</si>
  <si>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</si>
  <si>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</si>
  <si>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</si>
  <si>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</si>
  <si>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</si>
  <si>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</si>
  <si>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</si>
  <si>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</si>
  <si>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</si>
  <si>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</si>
  <si>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</si>
  <si>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</si>
  <si>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</si>
  <si>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</si>
  <si>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</si>
  <si>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</si>
  <si>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</si>
  <si>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</si>
  <si>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</si>
  <si>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</si>
  <si>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</si>
  <si>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</si>
  <si>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</si>
  <si>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</si>
  <si>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</si>
  <si>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</si>
  <si>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</si>
  <si>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</si>
  <si>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</si>
  <si>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</si>
  <si>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</si>
  <si>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</si>
  <si>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</si>
  <si>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</si>
  <si>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</si>
  <si>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</si>
  <si>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</si>
  <si>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</si>
  <si>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</si>
  <si>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</si>
  <si>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</si>
  <si>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</si>
  <si>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</si>
  <si>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</si>
  <si>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</si>
  <si>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</si>
  <si>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</si>
  <si>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</si>
  <si>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</si>
  <si>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</si>
  <si>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</si>
  <si>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</si>
  <si>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</si>
  <si>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</si>
  <si>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</si>
  <si>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</si>
  <si>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</si>
  <si>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</si>
  <si>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</si>
  <si>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</si>
  <si>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</si>
  <si>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</si>
  <si>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</si>
  <si>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</si>
  <si>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</si>
  <si>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</si>
  <si>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</si>
  <si>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</si>
  <si>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</si>
  <si>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</si>
  <si>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</si>
  <si>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</si>
  <si>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</si>
  <si>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</si>
  <si>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</si>
  <si>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</si>
  <si>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</si>
  <si>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</si>
  <si>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</si>
  <si>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</si>
  <si>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</si>
  <si>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</si>
  <si>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</si>
  <si>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</si>
  <si>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</si>
  <si>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</si>
  <si>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</si>
  <si>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</si>
  <si>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</si>
  <si>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</si>
  <si>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</si>
  <si>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</si>
  <si>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</si>
  <si>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</si>
  <si>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</si>
  <si>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</si>
  <si>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</si>
  <si>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</si>
  <si>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</si>
  <si>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</si>
  <si>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</si>
  <si>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</si>
  <si>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</si>
  <si>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</si>
  <si>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</si>
  <si>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</si>
  <si>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</si>
  <si>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</si>
  <si>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</si>
  <si>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</si>
  <si>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</si>
  <si>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</si>
  <si>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</si>
  <si>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</si>
  <si>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</si>
  <si>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</si>
  <si>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</si>
  <si>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</si>
  <si>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</si>
  <si>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</si>
  <si>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</si>
  <si>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</si>
  <si>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</si>
  <si>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</si>
  <si>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</si>
  <si>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</si>
  <si>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</si>
  <si>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</si>
  <si>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</si>
  <si>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</si>
  <si>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</si>
  <si>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</si>
  <si>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</si>
  <si>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</si>
  <si>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</si>
  <si>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</si>
  <si>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</si>
  <si>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</si>
  <si>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</si>
  <si>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</si>
  <si>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</si>
  <si>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</si>
  <si>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</si>
  <si>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</si>
  <si>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</si>
  <si>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</si>
  <si>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</si>
  <si>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</si>
  <si>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</si>
  <si>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</si>
  <si>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</si>
  <si>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</si>
  <si>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</si>
  <si>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</si>
  <si>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</si>
  <si>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</si>
  <si>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</si>
  <si>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</si>
  <si>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</si>
  <si>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</si>
  <si>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</si>
  <si>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</si>
  <si>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</si>
  <si>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</si>
  <si>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</si>
  <si>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</si>
  <si>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</si>
  <si>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</si>
  <si>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</si>
  <si>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</si>
  <si>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</si>
  <si>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</si>
  <si>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</si>
  <si>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</si>
  <si>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</si>
  <si>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</si>
  <si>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</si>
  <si>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</si>
  <si>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</si>
  <si>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</si>
  <si>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</si>
  <si>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</si>
  <si>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</si>
  <si>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</si>
  <si>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</si>
  <si>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</si>
  <si>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</si>
  <si>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</si>
  <si>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</si>
  <si>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</si>
  <si>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</si>
  <si>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</si>
  <si>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</si>
  <si>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</si>
  <si>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</si>
  <si>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</si>
  <si>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</si>
  <si>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</si>
  <si>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</si>
  <si>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</si>
  <si>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</si>
  <si>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</si>
  <si>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</si>
  <si>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</si>
  <si>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</si>
  <si>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</si>
  <si>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</si>
  <si>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</si>
  <si>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</si>
  <si>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</si>
  <si>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</si>
  <si>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</si>
  <si>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</si>
  <si>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</si>
  <si>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</si>
  <si>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</si>
  <si>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</si>
  <si>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</si>
  <si>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</si>
  <si>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</si>
  <si>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</si>
  <si>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</si>
  <si>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</si>
  <si>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</si>
  <si>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</si>
  <si>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</si>
  <si>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</si>
  <si>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</si>
  <si>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</si>
  <si>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</si>
  <si>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</si>
  <si>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</si>
  <si>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</si>
  <si>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</si>
  <si>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</si>
  <si>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</si>
  <si>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</si>
  <si>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</si>
  <si>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</si>
  <si>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</si>
  <si>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</si>
  <si>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</si>
  <si>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</si>
  <si>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</si>
  <si>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</si>
  <si>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</si>
  <si>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</si>
  <si>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</si>
  <si>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</si>
  <si>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</si>
  <si>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</si>
  <si>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</si>
  <si>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</si>
  <si>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</si>
  <si>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</si>
  <si>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</si>
  <si>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</si>
  <si>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</si>
  <si>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</si>
  <si>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</si>
  <si>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</si>
  <si>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</si>
  <si>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</si>
  <si>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</si>
  <si>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</si>
  <si>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</si>
  <si>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</si>
  <si>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</si>
  <si>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</si>
  <si>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</si>
  <si>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</si>
  <si>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</si>
  <si>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</si>
  <si>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</si>
  <si>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</si>
  <si>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</si>
  <si>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</si>
  <si>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</si>
  <si>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</si>
  <si>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</si>
  <si>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</si>
  <si>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</si>
  <si>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</si>
  <si>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</si>
  <si>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</si>
  <si>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</si>
  <si>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</si>
  <si>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</si>
  <si>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</si>
  <si>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</si>
  <si>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</si>
  <si>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</si>
  <si>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</si>
  <si>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</si>
  <si>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</si>
  <si>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</si>
  <si>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</si>
  <si>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</si>
  <si>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</si>
  <si>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</si>
  <si>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</si>
  <si>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</si>
  <si>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</si>
  <si>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</si>
  <si>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</si>
  <si>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</si>
  <si>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</si>
  <si>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</si>
  <si>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</si>
  <si>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</si>
  <si>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</si>
  <si>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</si>
  <si>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</si>
  <si>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</si>
  <si>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</si>
  <si>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</si>
  <si>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</si>
  <si>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</si>
  <si>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</si>
  <si>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</si>
  <si>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</si>
  <si>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</si>
  <si>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</si>
  <si>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</si>
  <si>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</si>
  <si>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</si>
  <si>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</si>
  <si>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</si>
  <si>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</si>
  <si>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</si>
  <si>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</si>
  <si>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</si>
  <si>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</si>
  <si>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</si>
  <si>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</si>
  <si>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</si>
  <si>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</si>
  <si>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</si>
  <si>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</si>
  <si>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</si>
  <si>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</si>
  <si>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</si>
  <si>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</si>
  <si>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</si>
  <si>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</si>
  <si>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</si>
  <si>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</si>
  <si>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</si>
  <si>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</si>
  <si>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</si>
  <si>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</si>
  <si>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</si>
  <si>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</si>
  <si>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</si>
  <si>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</si>
  <si>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</si>
  <si>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</si>
  <si>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</si>
  <si>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</si>
  <si>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</si>
  <si>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</si>
  <si>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</si>
  <si>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</si>
  <si>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</si>
  <si>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</si>
  <si>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</si>
  <si>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</si>
  <si>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</si>
  <si>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</si>
  <si>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</si>
  <si>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</si>
  <si>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</si>
  <si>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</si>
  <si>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</si>
  <si>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</si>
  <si>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</si>
  <si>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</si>
  <si>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</si>
  <si>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</si>
  <si>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</si>
  <si>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</si>
  <si>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</si>
  <si>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</si>
  <si>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</si>
  <si>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</si>
  <si>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</si>
  <si>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</si>
  <si>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</si>
  <si>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</si>
  <si>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</si>
  <si>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</si>
  <si>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</si>
  <si>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</si>
  <si>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</si>
  <si>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</si>
  <si>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</si>
  <si>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</si>
  <si>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</si>
  <si>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</si>
  <si>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</si>
  <si>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</si>
  <si>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</si>
  <si>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</si>
  <si>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</si>
  <si>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</si>
  <si>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</si>
  <si>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</si>
  <si>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</si>
  <si>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</si>
  <si>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</si>
  <si>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</si>
  <si>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</si>
  <si>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</si>
  <si>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</si>
  <si>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</si>
  <si>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</si>
  <si>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</si>
  <si>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</si>
  <si>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</si>
  <si>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</si>
  <si>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</si>
  <si>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</si>
  <si>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</si>
  <si>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</si>
  <si>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</si>
  <si>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</si>
  <si>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</si>
  <si>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</si>
  <si>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</si>
  <si>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</si>
  <si>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 xml:space="preserve">12ftW X 5ftH  Aluminium &amp; Glass Standard 4 Panel Install Only CTW / SF Partition / Z-Louvre P/C Z-Louvre Blade - 5" Curtain Wall </t>
  </si>
  <si>
    <t xml:space="preserve">8ftW X 9ftH  Aluminium &amp; Glass Standard 3 Panel Install Only CTW / SF Partition / Z-Louvre P/C Z-Louvre Blade - 5" Curtain Wall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</si>
</sst>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49" fontId="0" fillId="2" borderId="0" xfId="0" applyNumberFormat="1" applyFill="1" applyAlignment="1">
      <alignment horizontal="center"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  <xf numFmtId="4" fontId="0" fillId="0" borderId="5" xfId="0" applyNumberFormat="1" applyFill="1" applyBorder="1" applyAlignment="1">
      <alignment horizontal="center"/>
    </xf>
    <xf numFmtId="0" fontId="0" fillId="0" borderId="0" xfId="0" applyBorder="1" applyAlignment="1">
      <alignment vertical="center"/>
    </xf>
    <xf numFmtId="10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49" fontId="0" fillId="0" borderId="0" xfId="0" applyNumberFormat="1" applyBorder="1" applyAlignment="1">
      <alignment vertical="center"/>
    </xf>
    <xf numFmtId="49" fontId="0" fillId="2" borderId="0" xfId="0" applyNumberForma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B15" sqref="B15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255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8ftW X 7ftH  Aluminium &amp; Glass Performance  Panel Supply &amp; Delivery Casement Window Multi-Point Conceal N/A Default 24-Box Lattice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8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2</v>
      </c>
      <c r="O3" s="129" t="s">
        <v>437</v>
      </c>
      <c r="P3" s="35">
        <f>IF(SUM(P5:P24)=0,"",SUM(P5:P24))</f>
        <v>7555.0147783569046</v>
      </c>
    </row>
    <row r="4" spans="1:30" x14ac:dyDescent="0.25">
      <c r="A4" s="51" t="s">
        <v>80</v>
      </c>
      <c r="B4" s="28">
        <v>7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>
        <v>1</v>
      </c>
      <c r="L5" s="185" t="s">
        <v>2151</v>
      </c>
      <c r="M5" s="32" t="s">
        <v>176</v>
      </c>
      <c r="N5" s="32">
        <v>1</v>
      </c>
      <c r="O5" s="186">
        <v>4150.1740515436413</v>
      </c>
      <c r="P5" s="187">
        <f>IF(OR(NOT(ISNUMBER(N5)),NOT(ISNUMBER(O5))),"",N5*O5)</f>
        <v>4150.1740515436413</v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8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>
        <v>2</v>
      </c>
      <c r="L6" s="185" t="s">
        <v>2150</v>
      </c>
      <c r="M6" s="32" t="s">
        <v>176</v>
      </c>
      <c r="N6" s="32">
        <v>1</v>
      </c>
      <c r="O6" s="186">
        <v>3404.8407268132632</v>
      </c>
      <c r="P6" s="187">
        <f t="shared" ref="P6:P24" si="1">IF(OR(NOT(ISNUMBER(N6)),NOT(ISNUMBER(O6))),"",N6*O6)</f>
        <v>3404.8407268132632</v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7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56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 t="str">
        <f>IF(B14&lt;&gt;"", B14, IFERROR(ROUNDUP(B6*304.8/B15,0),""))</f>
        <v/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t="str" cm="1">
        <f t="array" ref="B15">IF(B16&lt;&gt;"",B16,
IF(Enginuity!$A$17="","",
_xlfn.LET(
 _xlpm.r,ROW(CalcEngine!$A$2:$A$4849),
 _xlpm.grp,UPPER(TRIM(Enginuity!$A$1)),
 _xlpm.svc,UPPER(TRIM(Enginuity!$A$17)),
 _xlpm.prd,UPPER(TRIM(Enginuity!$A$18)),
 _xlpm.subSel,TRIM(Enginuity!$B$18),
 _xlpm.a21Sel,UPPER(TRIM(Enginuity!$A$21)),
 _xlpm.subOk,AND(_xlpm.subSel&lt;&gt;"",IFERROR(COUNTIF(EBB_List,_xlpm.subSel),0)&gt;0),
 _xlpm.srcA,UPPER(TRIM(CalcEngine!$A$2:$A$4849)),
 _xlpm.srcB,UPPER(TRIM(CalcEngine!$B$2:$B$4849)),
 _xlpm.srcC,UPPER(TRIM(CalcEngine!$C$2:$C$4849)),
 _xlpm.srcD,UPPER(TRIM(CalcEngine!$D$2:$D$4849)),
 _xlpm.srcF,UPPER(TRIM(CalcEngine!$F$2:$F$4849)),
 _xlpm.srcN,CalcEngine!$N$2:$N$4849,
 _xlpm.srcO,UPPER(TRIM(CalcEngine!$O$2:$O$4849)),
 _xlpm.hitRow,IFERROR(_xlfn.XLOOKUP(1,(_xlpm.srcA=_xlpm.grp)*(_xlpm.srcC=_xlpm.prd)*(_xlpm.srcB="INSTALL ONLY")*(_xlpm.srcD="N/A"),_xlpm.r,""),""),
 _xlpm.blkTop,IF(_xlpm.hitRow="","",61+30*INT((_xlpm.hitRow-61)/30)),
 _xlpm.blkF,IF(_xlpm.blkTop="","",UPPER(TRIM(INDEX(CalcEngine!$F:$F,_xlfn.SEQUENCE(30,,_xlpm.blkTop))))),
 _xlpm.blkN,IF(_xlpm.blkTop="","",INDEX(CalcEngine!$N:$N,_xlfn.SEQUENCE(30,,_xlpm.blkTop))),
 _xlpm.blkO,IF(_xlpm.blkTop="","",UPPER(TRIM(INDEX(CalcEngine!$O:$O,_xlfn.SEQUENCE(30,,_xlpm.blkTop))))),
 _xlpm.subPos,IF(OR(_xlpm.blkTop="",NOT(_xlpm.subOk)),"",IFERROR(_xlfn.XMATCH(UPPER(TRIM(_xlpm.subSel)),_xlpm.blkF,0),"")),
 _xlpm.a21Pos,IF(OR(_xlpm.blkTop="",_xlpm.a21Sel=""),"",IFERROR(_xlfn.XMATCH(_xlpm.a21Sel,_xlpm.blkF,0),"")),
 _xlpm.defPos,IF(_xlpm.blkTop="","",IFERROR(_xlfn.XMATCH("DEF",_xlpm.blkO,0),"")),
 _xlpm.subVal,IF(_xlpm.subPos="","",INDEX(_xlpm.blkN,_xlpm.subPos)),
 _xlpm.a21Val,IF(_xlpm.a21Pos="","",INDEX(_xlpm.blkN,_xlpm.a21Pos)),
 _xlpm.defVal,IF(_xlpm.defPos="","",INDEX(_xlpm.blkN,_xlpm.defPos)),
 _xlpm.rOld,IFERROR(_xlfn.XLOOKUP(1,(_xlpm.srcA=_xlpm.grp)*(_xlpm.srcB=_xlpm.svc)*(_xlpm.srcN&lt;&gt;""),_xlpm.srcN,""),""),
 IF(_xlpm.subVal&lt;&gt;"",_xlpm.subVal,
    IF(_xlpm.a21Val&lt;&gt;"",_xlpm.a21Val,
       IF(_xlpm.defVal&lt;&gt;"",_xlpm.defVal,
          _xlpm.rOld)))
)))</f>
        <v/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1847</v>
      </c>
      <c r="B17" s="452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2114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1791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976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2087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>
        <f>IF(K5="","",K5)</f>
        <v>1</v>
      </c>
      <c r="L27" s="132" t="str">
        <f>IF(L5="","",L5)</f>
        <v xml:space="preserve">8ftW X 9ftH  Aluminium &amp; Glass Standard 3 Panel Install Only CTW / SF Partition / Z-Louvre P/C Z-Louvre Blade - 5" Curtain Wall </v>
      </c>
      <c r="M27" s="131" t="str">
        <f>IF(M5="","",M5)</f>
        <v>Set</v>
      </c>
      <c r="N27" s="133">
        <v>1</v>
      </c>
      <c r="O27" s="134">
        <v>1882.1039323750415</v>
      </c>
      <c r="P27" s="134">
        <f>IF(OR(NOT(ISNUMBER(N27)),NOT(ISNUMBER(O27))),"",N27*O27)</f>
        <v>1882.1039323750415</v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>
        <f t="shared" ref="K28:K46" si="2">IF(K6="","",K6)</f>
        <v>2</v>
      </c>
      <c r="L28" s="132" t="str">
        <f t="shared" ref="L28:M46" si="3">IF(L6="","",L6)</f>
        <v xml:space="preserve">12ftW X 5ftH  Aluminium &amp; Glass Standard 4 Panel Install Only CTW / SF Partition / Z-Louvre P/C Z-Louvre Blade - 5" Curtain Wall </v>
      </c>
      <c r="M28" s="131" t="str">
        <f t="shared" si="3"/>
        <v>Set</v>
      </c>
      <c r="N28" s="133">
        <v>1</v>
      </c>
      <c r="O28" s="135">
        <v>1544.095269609815</v>
      </c>
      <c r="P28" s="134">
        <f t="shared" ref="P28:P46" si="4">IF(OR(NOT(ISNUMBER(N28)),NOT(ISNUMBER(O28))),"",N28*O28)</f>
        <v>1544.095269609815</v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 _xlpm.r,ROW(CalcEngine!$A$2:$A$5000),
 _xlpm.grp,UPPER(TRIM(Enginuity!$A$1)),
 _xlpm.prd,UPPER(TRIM(Enginuity!$A$18)),
 _xlpm.subSel,TRIM(Enginuity!$B$18),
 _xlpm.a21Sel,UPPER(TRIM(Enginuity!$A$21)),
 _xlpm.subOk,AND(_xlpm.subSel&lt;&gt;"",IFERROR(COUNTIF(EBB_List,_xlpm.subSel),0)&gt;0),
 _xlpm.srcA,UPPER(TRIM(CalcEngine!$A$2:$A$5000)),
 _xlpm.srcC,UPPER(TRIM(CalcEngine!$C$2:$C$5000)),
 _xlpm.srcD,UPPER(TRIM(CalcEngine!$D$2:$D$5000)),
 _xlpm.srcF,UPPER(TRIM(CalcEngine!$F$2:$F$5000)),
 _xlpm.srcM,CalcEngine!$M$2:$M$5000,
 _xlpm.srcO,UPPER(TRIM(CalcEngine!$O$2:$O$5000)),
 _xlpm.hitRow,IFERROR(_xlfn.XLOOKUP(1,(_xlpm.srcA=_xlpm.grp)*(_xlpm.srcC=_xlpm.prd)*(_xlpm.srcD="N/A"),_xlpm.r,""),""),
 _xlpm.blkTop,IF(_xlpm.hitRow="","",61+30*INT((_xlpm.hitRow-61)/30)),
 _xlpm.blkF,IF(_xlpm.blkTop="","",UPPER(TRIM(INDEX(CalcEngine!$F:$F,_xlfn.SEQUENCE(30,,_xlpm.blkTop))))),
 _xlpm.blkM,IF(_xlpm.blkTop="","",INDEX(CalcEngine!$M:$M,_xlfn.SEQUENCE(30,,_xlpm.blkTop))),
 _xlpm.blkO,IF(_xlpm.blkTop="","",UPPER(TRIM(INDEX(CalcEngine!$O:$O,_xlfn.SEQUENCE(30,,_xlpm.blkTop))))),
 _xlpm.subPos,IF(OR(_xlpm.blkTop="",NOT(_xlpm.subOk)),"",IFERROR(_xlfn.XMATCH(UPPER(TRIM(_xlpm.subSel)),_xlpm.blkF,0),"")),
 _xlpm.a21Pos,IF(OR(_xlpm.blkTop="",_xlpm.a21Sel=""),"",IFERROR(_xlfn.XMATCH(_xlpm.a21Sel,_xlpm.blkF,0),"")),
 _xlpm.defPos,IF(_xlpm.blkTop="","",IFERROR(_xlfn.XMATCH("DEF",_xlpm.blkO,0),"")),
 _xlpm.subVal,IF(_xlpm.subPos="","",INDEX(_xlpm.blkM,_xlpm.subPos)),
 _xlpm.a21Val,IF(_xlpm.a21Pos="","",INDEX(_xlpm.blkM,_xlpm.a21Pos)),
 _xlpm.defVal,IF(_xlpm.defPos="","",INDEX(_xlpm.blkM,_xlpm.defPos)),
 _xlpm.rOld,IFERROR(_xlfn.XLOOKUP(1,(_xlpm.srcA=_xlpm.grp)*(_xlpm.srcC=_xlpm.prd)*(_xlpm.srcM&lt;&gt;""),_xlpm.srcM,0),0),
 IF(_xlpm.subVal&lt;&gt;"",_xlpm.subVal,
    IF(_xlpm.a21Val&lt;&gt;"",_xlpm.a21Val,
       IF(_xlpm.defVal&lt;&gt;"",_xlpm.defVal,
          _xlpm.rOld)))
-IFERROR(B34,0)
)</f>
        <v>0.5212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156.77760000000001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>
        <f>IF(SUM(P27:P46)=0,"",SUM(P27:P46))</f>
        <v>3426.1992019848567</v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>
        <f>IF(AND(COUNT(P5:P24)=0,COUNT(P27:P46)=0),"",SUM(P5:P24)-SUM(P27:P46))</f>
        <v>4128.8155763720479</v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 t="e">
        <f>ROUNDUP(Enginuity!B6 * 304.8 / Enginuity!B15, 0) * 2</f>
        <v>#VALUE!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 t="e">
        <f>ROUNDUP(Enginuity!B6 * 304.8 / Enginuity!B15, 0) * 8</f>
        <v>#VALUE!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conditionalFormatting sqref="B17">
    <cfRule type="expression" dxfId="0" priority="1">
      <formula>LEN($B$17)&gt;0</formula>
    </cfRule>
  </conditionalFormatting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abSelected="1" topLeftCell="A424" zoomScale="70" zoomScaleNormal="70" workbookViewId="0">
      <selection activeCell="O451" sqref="O45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3" width="11.140625" style="369" bestFit="1" customWidth="1"/>
    <col min="14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65" style="1" bestFit="1" customWidth="1"/>
    <col min="21" max="21" width="9.140625" style="1"/>
    <col min="22" max="22" width="10" style="1" bestFit="1" customWidth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1.4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424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1.38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 t="str">
        <f>IFERROR(IF(OR(Enginuity!$B$7="",IF(Enginuity!$B$14&lt;&gt;"",Enginuity!$B$14,Enginuity!$B$13)=""),"",IF(Enginuity!$B$14&lt;&gt;"",Enginuity!$B$14,Enginuity!$B$13)*2*Enginuity!$B$7),"")</f>
        <v/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1.07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10.448571428571428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184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3.43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 t="str">
        <f>IFERROR(IF(OR(Enginuity!$B$7="",IF(Enginuity!$B$14&lt;&gt;"",Enginuity!$B$14,Enginuity!$B$13)=""),"",IF(Enginuity!$B$14&lt;&gt;"",Enginuity!$B$14,Enginuity!$B$13)*2*Enginuity!$B$7),"")</f>
        <v/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2.52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11.27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1.57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 t="str">
        <f>IF(OR(Enginuity!B13="",Enginuity!B6="",Enginuity!B7=""),"",Enginuity!B13*Enginuity!B7+Enginuity!B13*3*Enginuity!B6)</f>
        <v/>
      </c>
      <c r="W14" s="399" t="str">
        <f>IFERROR(IF(V14="","",V14*($W$12+$W$13)),"")</f>
        <v/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 t="str">
        <f>IF(OR(Enginuity!B13="",Enginuity!B6="",Enginuity!B7=""),"",Enginuity!B13*Enginuity!B7+Enginuity!B13*5*Enginuity!B6)</f>
        <v/>
      </c>
      <c r="W15" s="399" t="str">
        <f t="shared" ref="W15:W16" si="1">IFERROR(IF(V15="","",V15*($W$12+$W$13)),"")</f>
        <v/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 t="str">
        <f>IF(OR(Enginuity!B13="",Enginuity!B6="",Enginuity!B7=""),"",Enginuity!B13*2*Enginuity!B7+Enginuity!B13*7*Enginuity!B6)</f>
        <v/>
      </c>
      <c r="W16" s="412" t="str">
        <f t="shared" si="1"/>
        <v/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418" t="s">
        <v>254</v>
      </c>
      <c r="B61" s="414" t="s">
        <v>1845</v>
      </c>
      <c r="C61" s="414" t="s">
        <v>3</v>
      </c>
      <c r="D61" s="414" t="s">
        <v>1791</v>
      </c>
      <c r="E61" s="414" t="str" cm="1">
        <f t="array" ref="E61:E70">IFERROR(INDEX(_xlfn._xlws.FILTER(CostData!$P$3:$P$12,CostData!$P$3:$P$12&lt;&gt;""),_xlfn.SEQUENCE(10)),"")</f>
        <v>Default</v>
      </c>
      <c r="F61" s="414"/>
      <c r="G61" s="414" t="str">
        <f>"▼ [Fix - Casement]"</f>
        <v>▼ [Fix - Casement]</v>
      </c>
      <c r="H61" s="414" t="str">
        <f>"▼ [Hung Window - Casement]"</f>
        <v>▼ [Hung Window - Casement]</v>
      </c>
      <c r="I61" s="414" t="s">
        <v>1857</v>
      </c>
      <c r="J61" s="414" t="s">
        <v>1858</v>
      </c>
      <c r="K61" s="414" t="s">
        <v>1859</v>
      </c>
      <c r="L61" s="414" t="s">
        <v>1860</v>
      </c>
      <c r="M61" s="419">
        <v>0.54644999999999999</v>
      </c>
      <c r="N61" s="414">
        <v>609.6</v>
      </c>
      <c r="O61" s="414" t="s">
        <v>1955</v>
      </c>
      <c r="P61" s="408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408" t="str" cm="1">
        <f t="array" ref="Q61">_xlfn.LET(_xlpm.cd,INDEX($S:$S,ROW()),IF(_xlpm.cd="","",IFERROR(_xlfn.XLOOKUP(_xlpm.cd,CostData!$C$22:$C$1000,CostData!$B$22:$B$1000,""),"")))</f>
        <v>Aluminium</v>
      </c>
      <c r="R61" s="424" t="s">
        <v>1811</v>
      </c>
      <c r="S61" s="416" t="s">
        <v>1924</v>
      </c>
      <c r="T61" s="408" t="str" cm="1">
        <f t="array" ref="T61">_xlfn.LET(_xlpm.cd,INDEX($S:$S,ROW()),IF(_xlpm.cd="","",IFERROR(_xlfn.XLOOKUP(_xlpm.cd,CostData!$C$22:$C$1000,CostData!$E$22:$E$1000,""),"")))</f>
        <v>Outer</v>
      </c>
      <c r="U61" s="408" t="s">
        <v>103</v>
      </c>
      <c r="V61" s="408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W61" s="420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G62" s="369" t="s">
        <v>1865</v>
      </c>
      <c r="H62" s="369" t="s">
        <v>1865</v>
      </c>
      <c r="O62" s="369" t="s">
        <v>1956</v>
      </c>
      <c r="P62" s="408" t="e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t="e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G63" s="369" t="s">
        <v>1866</v>
      </c>
      <c r="H63" s="369" t="s">
        <v>1866</v>
      </c>
      <c r="O63" s="369" t="s">
        <v>1957</v>
      </c>
      <c r="P63" s="408" t="e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G64" s="369" t="s">
        <v>1867</v>
      </c>
      <c r="H64" s="369" t="s">
        <v>1867</v>
      </c>
      <c r="O64" s="369" t="s">
        <v>1958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O65" s="369" t="s">
        <v>1959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">
        <v>762</v>
      </c>
      <c r="R65" s="397" t="str">
        <f>S65</f>
        <v>24-Box Lattice</v>
      </c>
      <c r="S65" s="429" t="str">
        <f>Enginuity!$A$21</f>
        <v>24-Box Lattice</v>
      </c>
      <c r="T65" s="397" t="str">
        <f>S65</f>
        <v>24-Box Lattice</v>
      </c>
      <c r="U65" s="1" t="s">
        <v>176</v>
      </c>
      <c r="V65" s="1" cm="1">
        <f t="array" ref="V65">_xlfn.LET(_xlpm.vSel,TRIM(SUBSTITUTE(Enginuity!$A$21,CHAR(160)," ")),_xlpm.vCode,TRIM(SUBSTITUTE(INDEX(S:S,ROW()),CHAR(160)," ")),IF(AND(_xlpm.vSel&lt;&gt;"",_xlpm.vCode&lt;&gt;"",_xlpm.vSel=_xlpm.vCode),1,""))</f>
        <v>1</v>
      </c>
      <c r="W65" s="399" t="str" cm="1">
        <f t="array" ref="W65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O66" s="369" t="s">
        <v>1967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>
        <f>S66</f>
        <v>▼ [Fix - Casement]</v>
      </c>
      <c r="R66" s="16" t="str">
        <f>T66</f>
        <v/>
      </c>
      <c r="S66" s="427" t="str">
        <f>G61</f>
        <v>▼ [Fix - Casement]</v>
      </c>
      <c r="T66" s="1" t="str">
        <f>_xlfn.LET(_xlpm.x,TRIM(Enginuity!$A$22),IF(OR(_xlpm.x="",LEFT(_xlpm.x,1)="▼"),"",_xlpm.x&amp;" Fix Window"))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O67" s="369" t="s">
        <v>1968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>
        <f>S67</f>
        <v>▼ [Hung Window - Casement]</v>
      </c>
      <c r="R67" s="16" t="str">
        <f>T67</f>
        <v/>
      </c>
      <c r="S67" s="427" t="str">
        <f>H61</f>
        <v>▼ [Hung Window - Casement]</v>
      </c>
      <c r="T67" s="1" t="str">
        <f>_xlfn.LET(_xlpm.x,TRIM(Enginuity!$A$23),IF(OR(_xlpm.x="",LEFT(_xlpm.x,1)="▼"),"",_xlpm.x&amp;" Top Hung"))</f>
        <v/>
      </c>
      <c r="U67" s="1" t="s">
        <v>176</v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F71" s="369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F72" s="369" t="s">
        <v>2085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F73" s="369" t="s">
        <v>2086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F74" s="369" t="s">
        <v>2087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>⬒ Default</v>
      </c>
      <c r="T77" s="1" t="str">
        <f>IF(Enginuity!$A$20="","",Enginuity!$A$20)</f>
        <v>Default</v>
      </c>
      <c r="U77" s="1" t="s">
        <v>121</v>
      </c>
      <c r="V77" s="1">
        <f>IF(Enginuity!$B$9="","",Enginuity!$B$9)</f>
        <v>56</v>
      </c>
      <c r="W77" s="399">
        <f>IFERROR(INDEX(CostData!$Q$3:$Q$12,MATCH(TRIM(Enginuity!$A$20),CostData!$P$3:$P$12,0)),"")</f>
        <v>3.9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 t="str">
        <f>IF(Enginuity!$B$13&gt;0,Enginuity!$B$13,"")</f>
        <v/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t="str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e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 t="e">
        <f>IF(SUM($V$61:$V$64)=0,"",SUM($V$61:$V$64))</f>
        <v>#VALUE!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56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e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 t="e">
        <f>IF($V$62="","",$V$62)</f>
        <v>#VALUE!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e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 t="e">
        <f>IF($V$62="","",$V$62)</f>
        <v>#VALUE!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274" t="s">
        <v>254</v>
      </c>
      <c r="C90" s="369" t="s">
        <v>3</v>
      </c>
      <c r="P90" s="1" t="e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90" s="1" t="str">
        <f>IF($S90="","",IFERROR(_xlfn.XLOOKUP($S90,CostData!$U$22:$U$1000,CostData!$T$22:$T$1000,""),""))</f>
        <v>Gasket</v>
      </c>
      <c r="R90" s="16" t="s">
        <v>1931</v>
      </c>
      <c r="S90" s="24">
        <v>6154</v>
      </c>
      <c r="T90" s="1" t="str" cm="1">
        <f t="array" ref="T90">_xlfn.LET(_xlpm.cd,INDEX($S:$S,ROW()),IF(_xlpm.cd="","",IFERROR(_xlfn.XLOOKUP(_xlpm.cd,CostData!$U$22:$U$1000,CostData!$W$22:$W$1000,""),"")))</f>
        <v>6154 Gasket</v>
      </c>
      <c r="U90" s="1" t="str">
        <f>IF($S90="","",IFERROR(_xlfn.XLOOKUP($S90,CostData!$U$22:$U$1000,CostData!$AA$22:$AA$1000,""),""))</f>
        <v>Ft</v>
      </c>
      <c r="V90" s="1" t="e">
        <f>IF(SUM($V$63:$V$64)=0,"",SUM($V$63:$V$64)*2)</f>
        <v>#VALUE!</v>
      </c>
      <c r="W90" s="399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414"/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0.52</v>
      </c>
      <c r="N91" s="414">
        <v>762</v>
      </c>
      <c r="O91" s="414" t="s">
        <v>1955</v>
      </c>
      <c r="P91" s="408" t="str" cm="1">
        <f t="array" ref="P9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30</v>
      </c>
      <c r="W91" s="420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4" t="s">
        <v>254</v>
      </c>
      <c r="B92" s="453" t="s">
        <v>1847</v>
      </c>
      <c r="C92" s="453" t="s">
        <v>1989</v>
      </c>
      <c r="D92" s="453" t="s">
        <v>1813</v>
      </c>
      <c r="E92" s="453" t="str">
        <v>Z-Louvre Blade - 2"</v>
      </c>
      <c r="F92" s="453" t="s">
        <v>1933</v>
      </c>
      <c r="G92" s="453"/>
      <c r="H92" s="453"/>
      <c r="I92" s="453"/>
      <c r="J92" s="453"/>
      <c r="K92" s="453"/>
      <c r="L92" s="453"/>
      <c r="M92" s="454">
        <v>0.52</v>
      </c>
      <c r="N92" s="453">
        <v>1500</v>
      </c>
      <c r="O92" s="453" t="s">
        <v>1956</v>
      </c>
      <c r="P92" s="455" t="str" cm="1">
        <f t="array" ref="P9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2" s="455" t="str" cm="1">
        <f t="array" ref="Q92">_xlfn.LET(_xlpm.cd,INDEX($S:$S,ROW()),IF(_xlpm.cd="","",IFERROR(_xlfn.XLOOKUP(_xlpm.cd,CostData!$C$22:$C$1000,CostData!$B$22:$B$1000,""),"")))</f>
        <v>Aluminium</v>
      </c>
      <c r="R92" s="456" t="s">
        <v>1862</v>
      </c>
      <c r="S92" s="457" t="s">
        <v>1971</v>
      </c>
      <c r="T92" s="455" t="str" cm="1">
        <f t="array" ref="T92">_xlfn.LET(_xlpm.cd,INDEX($S:$S,ROW()),IF(_xlpm.cd="","",IFERROR(_xlfn.XLOOKUP(_xlpm.cd,CostData!$C$22:$C$1000,CostData!$E$22:$E$1000,""),"")))</f>
        <v>Outer</v>
      </c>
      <c r="U92" s="455" t="s">
        <v>103</v>
      </c>
      <c r="V92" s="455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92" s="399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4" t="s">
        <v>254</v>
      </c>
      <c r="B93" s="453" t="s">
        <v>382</v>
      </c>
      <c r="C93" s="453" t="s">
        <v>1989</v>
      </c>
      <c r="D93" s="453" t="s">
        <v>1792</v>
      </c>
      <c r="E93" s="453" t="str">
        <v>Z-Louvre Blade - 5"</v>
      </c>
      <c r="F93" s="453" t="s">
        <v>1960</v>
      </c>
      <c r="G93" s="453"/>
      <c r="H93" s="453"/>
      <c r="I93" s="453"/>
      <c r="J93" s="453"/>
      <c r="K93" s="453"/>
      <c r="L93" s="453"/>
      <c r="M93" s="454">
        <v>0.52</v>
      </c>
      <c r="N93" s="453">
        <v>762</v>
      </c>
      <c r="O93" s="453" t="s">
        <v>1957</v>
      </c>
      <c r="P93" s="455" t="str" cm="1">
        <f t="array" ref="P9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3" s="455" t="str" cm="1">
        <f t="array" ref="Q93">_xlfn.LET(_xlpm.cd,INDEX($S:$S,ROW()),IF(_xlpm.cd="","",IFERROR(_xlfn.XLOOKUP(_xlpm.cd,CostData!$C$22:$C$1000,CostData!$B$22:$B$1000,""),"")))</f>
        <v>Aluminium</v>
      </c>
      <c r="R93" s="456" t="s">
        <v>1861</v>
      </c>
      <c r="S93" s="457" t="s">
        <v>1971</v>
      </c>
      <c r="T93" s="455" t="str" cm="1">
        <f t="array" ref="T93">_xlfn.LET(_xlpm.cd,INDEX($S:$S,ROW()),IF(_xlpm.cd="","",IFERROR(_xlfn.XLOOKUP(_xlpm.cd,CostData!$C$22:$C$1000,CostData!$E$22:$E$1000,""),"")))</f>
        <v>Outer</v>
      </c>
      <c r="U93" s="455" t="s">
        <v>103</v>
      </c>
      <c r="V93" s="455" t="str">
        <f>_xlfn.LET(_xlpm.w,Enginuity!$B$6,_xlpm.h,ROUND(Enginuity!$B$7,2),_xlpm.tot,IF(_xlpm.h&gt;23,"MAX 23FT",IF(_xlpm.h&gt;18,_xlpm.w*3,IF(_xlpm.h&gt;13,_xlpm.w*2,IF(_xlpm.h&gt;8,_xlpm.w,0)))),IF(_xlpm.tot=0,"",_xlpm.tot))</f>
        <v/>
      </c>
      <c r="W93" s="399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4" t="s">
        <v>254</v>
      </c>
      <c r="B94" s="453" t="s">
        <v>1846</v>
      </c>
      <c r="C94" s="453" t="s">
        <v>1989</v>
      </c>
      <c r="D94" s="453" t="s">
        <v>1814</v>
      </c>
      <c r="E94" s="453" t="str">
        <v/>
      </c>
      <c r="F94" s="453" t="s">
        <v>1961</v>
      </c>
      <c r="G94" s="453"/>
      <c r="H94" s="453"/>
      <c r="I94" s="453"/>
      <c r="J94" s="453"/>
      <c r="K94" s="453"/>
      <c r="L94" s="453"/>
      <c r="M94" s="454">
        <v>0.52</v>
      </c>
      <c r="N94" s="453">
        <v>762</v>
      </c>
      <c r="O94" s="453" t="s">
        <v>1958</v>
      </c>
      <c r="P94" s="455" t="str" cm="1">
        <f t="array" ref="P9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4" s="455" t="str" cm="1">
        <f t="array" ref="Q94">_xlfn.LET(_xlpm.cd,INDEX($S:$S,ROW()),IF(_xlpm.cd="","",IFERROR(_xlfn.XLOOKUP(_xlpm.cd,CostData!$C$22:$C$1000,CostData!$B$22:$B$1000,""),"")))</f>
        <v>Aluminium</v>
      </c>
      <c r="R94" s="456" t="s">
        <v>1811</v>
      </c>
      <c r="S94" s="457" t="s">
        <v>1953</v>
      </c>
      <c r="T94" s="455" t="str" cm="1">
        <f t="array" ref="T94">_xlfn.LET(_xlpm.cd,INDEX($S:$S,ROW()),IF(_xlpm.cd="","",IFERROR(_xlfn.XLOOKUP(_xlpm.cd,CostData!$C$22:$C$1000,CostData!$E$22:$E$1000,""),"")))</f>
        <v>Outer / Innner</v>
      </c>
      <c r="U94" s="455" t="s">
        <v>103</v>
      </c>
      <c r="V94" s="455">
        <f>_xlfn.LET(_xlpm.w,Enginuity!$B$6,_xlpm.h,Enginuity!$B$7,_xlpm.tot,(2*_xlpm.w)+(2*_xlpm.h),IF(_xlpm.tot=0,"",_xlpm.tot))</f>
        <v>30</v>
      </c>
      <c r="W94" s="399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4" t="s">
        <v>254</v>
      </c>
      <c r="B95" s="453"/>
      <c r="C95" s="453" t="s">
        <v>1989</v>
      </c>
      <c r="D95" s="453"/>
      <c r="E95" s="453" t="str">
        <v/>
      </c>
      <c r="F95" s="453" t="s">
        <v>1962</v>
      </c>
      <c r="G95" s="453"/>
      <c r="H95" s="453"/>
      <c r="I95" s="453"/>
      <c r="J95" s="453"/>
      <c r="K95" s="453"/>
      <c r="L95" s="453"/>
      <c r="M95" s="454">
        <v>0.52</v>
      </c>
      <c r="N95" s="453">
        <v>762</v>
      </c>
      <c r="O95" s="453" t="s">
        <v>1959</v>
      </c>
      <c r="P95" s="455" t="str" cm="1">
        <f t="array" ref="P9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5" s="455" t="str" cm="1">
        <f t="array" ref="Q95">_xlfn.LET(_xlpm.cd,INDEX($S:$S,ROW()),IF(_xlpm.cd="","",IFERROR(_xlfn.XLOOKUP(_xlpm.cd,CostData!$C$22:$C$1000,CostData!$B$22:$B$1000,""),"")))</f>
        <v>Aluminium</v>
      </c>
      <c r="R95" s="456" t="s">
        <v>1862</v>
      </c>
      <c r="S95" s="457" t="s">
        <v>1953</v>
      </c>
      <c r="T95" s="455" t="str" cm="1">
        <f t="array" ref="T95">_xlfn.LET(_xlpm.cd,INDEX($S:$S,ROW()),IF(_xlpm.cd="","",IFERROR(_xlfn.XLOOKUP(_xlpm.cd,CostData!$C$22:$C$1000,CostData!$E$22:$E$1000,""),"")))</f>
        <v>Outer / Innner</v>
      </c>
      <c r="U95" s="455" t="s">
        <v>103</v>
      </c>
      <c r="V95" s="455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95" s="399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4" t="s">
        <v>254</v>
      </c>
      <c r="B96" s="453"/>
      <c r="C96" s="453" t="s">
        <v>1989</v>
      </c>
      <c r="D96" s="453"/>
      <c r="E96" s="453" t="str">
        <v/>
      </c>
      <c r="F96" s="453" t="s">
        <v>1969</v>
      </c>
      <c r="G96" s="453"/>
      <c r="H96" s="453"/>
      <c r="I96" s="453"/>
      <c r="J96" s="453"/>
      <c r="K96" s="453"/>
      <c r="L96" s="453"/>
      <c r="M96" s="454">
        <v>0.521208</v>
      </c>
      <c r="N96" s="453">
        <v>1000</v>
      </c>
      <c r="O96" s="453" t="s">
        <v>1967</v>
      </c>
      <c r="P96" s="455" t="str" cm="1">
        <f t="array" ref="P9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6" s="455" t="str" cm="1">
        <f t="array" ref="Q96">_xlfn.LET(_xlpm.cd,INDEX($S:$S,ROW()),IF(_xlpm.cd="","",IFERROR(_xlfn.XLOOKUP(_xlpm.cd,CostData!$C$22:$C$1000,CostData!$B$22:$B$1000,""),"")))</f>
        <v>Aluminium</v>
      </c>
      <c r="R96" s="456" t="s">
        <v>1861</v>
      </c>
      <c r="S96" s="457" t="s">
        <v>1953</v>
      </c>
      <c r="T96" s="455" t="str" cm="1">
        <f t="array" ref="T96">_xlfn.LET(_xlpm.cd,INDEX($S:$S,ROW()),IF(_xlpm.cd="","",IFERROR(_xlfn.XLOOKUP(_xlpm.cd,CostData!$C$22:$C$1000,CostData!$E$22:$E$1000,""),"")))</f>
        <v>Outer / Innner</v>
      </c>
      <c r="U96" s="455" t="s">
        <v>103</v>
      </c>
      <c r="V96" s="455" t="str">
        <f>_xlfn.LET(_xlpm.w,Enginuity!$B$6,_xlpm.h,Enginuity!$B$7,_xlpm.tot,IF(_xlpm.h&gt;12,"MAX 12FT",IF(_xlpm.h&gt;8,_xlpm.w,0)),IF(_xlpm.tot=0,"",_xlpm.tot))</f>
        <v/>
      </c>
      <c r="W96" s="399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4" t="s">
        <v>254</v>
      </c>
      <c r="B97" s="453"/>
      <c r="C97" s="453" t="s">
        <v>1989</v>
      </c>
      <c r="D97" s="453"/>
      <c r="E97" s="453" t="str">
        <v/>
      </c>
      <c r="F97" s="453" t="s">
        <v>1970</v>
      </c>
      <c r="G97" s="453"/>
      <c r="H97" s="453"/>
      <c r="I97" s="453"/>
      <c r="J97" s="453"/>
      <c r="K97" s="453"/>
      <c r="L97" s="453"/>
      <c r="M97" s="454">
        <v>0.521208</v>
      </c>
      <c r="N97" s="453">
        <v>1000</v>
      </c>
      <c r="O97" s="453" t="s">
        <v>1968</v>
      </c>
      <c r="P97" s="455" t="str" cm="1">
        <f t="array" ref="P9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7" s="455" t="str" cm="1">
        <f t="array" ref="Q97">_xlfn.LET(_xlpm.cd,INDEX($S:$S,ROW()),IF(_xlpm.cd="","",IFERROR(_xlfn.XLOOKUP(_xlpm.cd,CostData!$C$22:$C$1000,CostData!$B$22:$B$1000,""),"")))</f>
        <v>Aluminium</v>
      </c>
      <c r="R97" s="456" t="s">
        <v>1811</v>
      </c>
      <c r="S97" s="457" t="s">
        <v>1940</v>
      </c>
      <c r="T97" s="455" t="str" cm="1">
        <f t="array" ref="T97">_xlfn.LET(_xlpm.cd,INDEX($S:$S,ROW()),IF(_xlpm.cd="","",IFERROR(_xlfn.XLOOKUP(_xlpm.cd,CostData!$C$22:$C$1000,CostData!$E$22:$E$1000,""),"")))</f>
        <v>Outer / Innner</v>
      </c>
      <c r="U97" s="455" t="s">
        <v>103</v>
      </c>
      <c r="V97" s="455">
        <f>_xlfn.LET(_xlpm.w,Enginuity!$B$6,_xlpm.h,Enginuity!$B$7,_xlpm.tot,(2*_xlpm.w)+(2*_xlpm.h),IF(_xlpm.tot=0,"",_xlpm.tot))</f>
        <v>30</v>
      </c>
      <c r="W97" s="399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4" t="s">
        <v>254</v>
      </c>
      <c r="B98" s="453"/>
      <c r="C98" s="453" t="s">
        <v>1989</v>
      </c>
      <c r="D98" s="453"/>
      <c r="E98" s="453" t="str">
        <v/>
      </c>
      <c r="F98" s="453"/>
      <c r="G98" s="453"/>
      <c r="H98" s="453"/>
      <c r="I98" s="453"/>
      <c r="J98" s="453"/>
      <c r="K98" s="453"/>
      <c r="L98" s="453"/>
      <c r="M98" s="454"/>
      <c r="N98" s="453"/>
      <c r="O98" s="453"/>
      <c r="P98" s="455" t="str" cm="1">
        <f t="array" ref="P9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8" s="455" t="str" cm="1">
        <f t="array" ref="Q98">_xlfn.LET(_xlpm.cd,INDEX($S:$S,ROW()),IF(_xlpm.cd="","",IFERROR(_xlfn.XLOOKUP(_xlpm.cd,CostData!$C$22:$C$1000,CostData!$B$22:$B$1000,""),"")))</f>
        <v>Aluminium</v>
      </c>
      <c r="R98" s="456" t="s">
        <v>1862</v>
      </c>
      <c r="S98" s="457" t="s">
        <v>1940</v>
      </c>
      <c r="T98" s="455" t="str" cm="1">
        <f t="array" ref="T98">_xlfn.LET(_xlpm.cd,INDEX($S:$S,ROW()),IF(_xlpm.cd="","",IFERROR(_xlfn.XLOOKUP(_xlpm.cd,CostData!$C$22:$C$1000,CostData!$E$22:$E$1000,""),"")))</f>
        <v>Outer / Innner</v>
      </c>
      <c r="U98" s="455" t="s">
        <v>103</v>
      </c>
      <c r="V98" s="455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98" s="399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4" t="s">
        <v>254</v>
      </c>
      <c r="B99" s="453"/>
      <c r="C99" s="453" t="s">
        <v>1989</v>
      </c>
      <c r="D99" s="453"/>
      <c r="E99" s="453" t="str">
        <v/>
      </c>
      <c r="F99" s="453"/>
      <c r="G99" s="453"/>
      <c r="H99" s="453"/>
      <c r="I99" s="453"/>
      <c r="J99" s="453"/>
      <c r="K99" s="453"/>
      <c r="L99" s="453"/>
      <c r="M99" s="453"/>
      <c r="N99" s="453"/>
      <c r="O99" s="453"/>
      <c r="P99" s="455" t="str" cm="1">
        <f t="array" ref="P99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9" s="455" t="str" cm="1">
        <f t="array" ref="Q99">_xlfn.LET(_xlpm.cd,INDEX($S:$S,ROW()),IF(_xlpm.cd="","",IFERROR(_xlfn.XLOOKUP(_xlpm.cd,CostData!$C$22:$C$1000,CostData!$B$22:$B$1000,""),"")))</f>
        <v>Aluminium</v>
      </c>
      <c r="R99" s="456" t="s">
        <v>1861</v>
      </c>
      <c r="S99" s="457" t="s">
        <v>1940</v>
      </c>
      <c r="T99" s="455" t="str" cm="1">
        <f t="array" ref="T99">_xlfn.LET(_xlpm.cd,INDEX($S:$S,ROW()),IF(_xlpm.cd="","",IFERROR(_xlfn.XLOOKUP(_xlpm.cd,CostData!$C$22:$C$1000,CostData!$E$22:$E$1000,""),"")))</f>
        <v>Outer / Innner</v>
      </c>
      <c r="U99" s="455" t="s">
        <v>103</v>
      </c>
      <c r="V99" s="455" t="str">
        <f>_xlfn.LET(_xlpm.w,Enginuity!$B$6,_xlpm.h,Enginuity!$B$7,_xlpm.tot,IF(_xlpm.h&gt;16,"MAX 16FT",IF(_xlpm.h&gt;12,_xlpm.w*2,IF(_xlpm.h&gt;8,_xlpm.w,0))),IF(_xlpm.tot=0,"",_xlpm.tot))</f>
        <v/>
      </c>
      <c r="W99" s="399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4" t="s">
        <v>254</v>
      </c>
      <c r="B100" s="453"/>
      <c r="C100" s="453" t="s">
        <v>1989</v>
      </c>
      <c r="D100" s="453"/>
      <c r="E100" s="453" t="str">
        <v/>
      </c>
      <c r="F100" s="453"/>
      <c r="G100" s="453"/>
      <c r="H100" s="453"/>
      <c r="I100" s="453"/>
      <c r="J100" s="453"/>
      <c r="K100" s="453"/>
      <c r="L100" s="453"/>
      <c r="M100" s="453"/>
      <c r="N100" s="453"/>
      <c r="O100" s="453"/>
      <c r="P100" s="455" t="str" cm="1">
        <f t="array" ref="P100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0" s="455" t="str" cm="1">
        <f t="array" ref="Q100">_xlfn.LET(_xlpm.cd,INDEX($S:$S,ROW()),IF(_xlpm.cd="","",IFERROR(_xlfn.XLOOKUP(_xlpm.cd,CostData!$C$22:$C$1000,CostData!$B$22:$B$1000,""),"")))</f>
        <v>Aluminium</v>
      </c>
      <c r="R100" s="456" t="s">
        <v>1811</v>
      </c>
      <c r="S100" s="457" t="s">
        <v>1948</v>
      </c>
      <c r="T100" s="455" t="str" cm="1">
        <f t="array" ref="T100">_xlfn.LET(_xlpm.cd,INDEX($S:$S,ROW()),IF(_xlpm.cd="","",IFERROR(_xlfn.XLOOKUP(_xlpm.cd,CostData!$C$22:$C$1000,CostData!$E$22:$E$1000,""),"")))</f>
        <v>Outer / Innner</v>
      </c>
      <c r="U100" s="455" t="s">
        <v>103</v>
      </c>
      <c r="V100" s="455">
        <f>_xlfn.LET(_xlpm.w,Enginuity!$B$6,_xlpm.h,Enginuity!$B$7,_xlpm.tot,(2*_xlpm.w)+(2*_xlpm.h),IF(_xlpm.tot=0,"",_xlpm.tot))</f>
        <v>30</v>
      </c>
      <c r="W100" s="399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4" t="s">
        <v>254</v>
      </c>
      <c r="B101" s="453"/>
      <c r="C101" s="453" t="s">
        <v>1989</v>
      </c>
      <c r="D101" s="453"/>
      <c r="E101" s="453"/>
      <c r="F101" s="453" t="str">
        <f>"▼ [Lattice Option]"</f>
        <v>▼ [Lattice Option]</v>
      </c>
      <c r="G101" s="453"/>
      <c r="H101" s="453"/>
      <c r="I101" s="453"/>
      <c r="J101" s="453"/>
      <c r="K101" s="453"/>
      <c r="L101" s="453"/>
      <c r="M101" s="453"/>
      <c r="N101" s="453"/>
      <c r="O101" s="453"/>
      <c r="P101" s="455" t="str" cm="1">
        <f t="array" ref="P10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1" s="455" t="str" cm="1">
        <f t="array" ref="Q101">_xlfn.LET(_xlpm.cd,INDEX($S:$S,ROW()),IF(_xlpm.cd="","",IFERROR(_xlfn.XLOOKUP(_xlpm.cd,CostData!$C$22:$C$1000,CostData!$B$22:$B$1000,""),"")))</f>
        <v>Aluminium</v>
      </c>
      <c r="R101" s="456" t="s">
        <v>1862</v>
      </c>
      <c r="S101" s="457" t="s">
        <v>1948</v>
      </c>
      <c r="T101" s="455" t="str" cm="1">
        <f t="array" ref="T101">_xlfn.LET(_xlpm.cd,INDEX($S:$S,ROW()),IF(_xlpm.cd="","",IFERROR(_xlfn.XLOOKUP(_xlpm.cd,CostData!$C$22:$C$1000,CostData!$E$22:$E$1000,""),"")))</f>
        <v>Outer / Innner</v>
      </c>
      <c r="U101" s="455" t="s">
        <v>103</v>
      </c>
      <c r="V101" s="455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101" s="399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4" t="s">
        <v>254</v>
      </c>
      <c r="B102" s="453"/>
      <c r="C102" s="453" t="s">
        <v>1989</v>
      </c>
      <c r="D102" s="453"/>
      <c r="E102" s="453"/>
      <c r="F102" s="453" t="s">
        <v>2085</v>
      </c>
      <c r="G102" s="453"/>
      <c r="H102" s="453"/>
      <c r="I102" s="453"/>
      <c r="J102" s="453"/>
      <c r="K102" s="453"/>
      <c r="L102" s="453"/>
      <c r="M102" s="453"/>
      <c r="N102" s="453"/>
      <c r="O102" s="453"/>
      <c r="P102" s="455" t="str" cm="1">
        <f t="array" ref="P10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2" s="455" t="str" cm="1">
        <f t="array" ref="Q102">_xlfn.LET(_xlpm.cd,INDEX($S:$S,ROW()),IF(_xlpm.cd="","",IFERROR(_xlfn.XLOOKUP(_xlpm.cd,CostData!$C$22:$C$1000,CostData!$B$22:$B$1000,""),"")))</f>
        <v>Aluminium</v>
      </c>
      <c r="R102" s="456" t="s">
        <v>1861</v>
      </c>
      <c r="S102" s="457" t="s">
        <v>1948</v>
      </c>
      <c r="T102" s="455" t="str" cm="1">
        <f t="array" ref="T102">_xlfn.LET(_xlpm.cd,INDEX($S:$S,ROW()),IF(_xlpm.cd="","",IFERROR(_xlfn.XLOOKUP(_xlpm.cd,CostData!$C$22:$C$1000,CostData!$E$22:$E$1000,""),"")))</f>
        <v>Outer / Innner</v>
      </c>
      <c r="U102" s="455" t="s">
        <v>103</v>
      </c>
      <c r="V102" s="455" t="str">
        <f>_xlfn.LET(_xlpm.w,Enginuity!$B$6,_xlpm.h,Enginuity!$B$7,_xlpm.tot,IF(_xlpm.h&gt;16,"MAX 16FT",IF(_xlpm.h&gt;12,_xlpm.w*2,IF(_xlpm.h&gt;8,_xlpm.w,0))),IF(_xlpm.tot=0,"",_xlpm.tot))</f>
        <v/>
      </c>
      <c r="W102" s="399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4" t="s">
        <v>254</v>
      </c>
      <c r="B103" s="453"/>
      <c r="C103" s="453" t="s">
        <v>1989</v>
      </c>
      <c r="D103" s="453"/>
      <c r="E103" s="453"/>
      <c r="F103" s="453" t="s">
        <v>2086</v>
      </c>
      <c r="G103" s="453"/>
      <c r="H103" s="453"/>
      <c r="I103" s="453"/>
      <c r="J103" s="453"/>
      <c r="K103" s="453"/>
      <c r="L103" s="453"/>
      <c r="M103" s="453"/>
      <c r="N103" s="453"/>
      <c r="O103" s="453"/>
      <c r="P103" s="455" t="str" cm="1">
        <f t="array" ref="P10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3" s="455" t="str" cm="1">
        <f t="array" ref="Q103">_xlfn.LET(_xlpm.cd,INDEX($S:$S,ROW()),IF(_xlpm.cd="","",IFERROR(_xlfn.XLOOKUP(_xlpm.cd,CostData!$C$22:$C$1000,CostData!$B$22:$B$1000,""),"")))</f>
        <v>Aluminium</v>
      </c>
      <c r="R103" s="456" t="s">
        <v>1811</v>
      </c>
      <c r="S103" s="457" t="s">
        <v>1965</v>
      </c>
      <c r="T103" s="455" t="str" cm="1">
        <f t="array" ref="T103">_xlfn.LET(_xlpm.cd,INDEX($S:$S,ROW()),IF(_xlpm.cd="","",IFERROR(_xlfn.XLOOKUP(_xlpm.cd,CostData!$C$22:$C$1000,CostData!$E$22:$E$1000,""),"")))</f>
        <v>Outer / Mullion</v>
      </c>
      <c r="U103" s="455" t="s">
        <v>103</v>
      </c>
      <c r="V103" s="455">
        <f>_xlfn.LET(_xlpm.w,Enginuity!$B$6,_xlpm.h,Enginuity!$B$7,_xlpm.tot,(2*_xlpm.w)+(2*_xlpm.h),IF(_xlpm.tot=0,"",_xlpm.tot))</f>
        <v>30</v>
      </c>
      <c r="W103" s="399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4" t="s">
        <v>254</v>
      </c>
      <c r="B104" s="453"/>
      <c r="C104" s="453" t="s">
        <v>1989</v>
      </c>
      <c r="D104" s="453"/>
      <c r="E104" s="453"/>
      <c r="F104" s="453" t="s">
        <v>2087</v>
      </c>
      <c r="G104" s="453"/>
      <c r="H104" s="453"/>
      <c r="I104" s="453"/>
      <c r="J104" s="453"/>
      <c r="K104" s="453"/>
      <c r="L104" s="453"/>
      <c r="M104" s="453"/>
      <c r="N104" s="453"/>
      <c r="O104" s="453"/>
      <c r="P104" s="455" t="str" cm="1">
        <f t="array" ref="P10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4" s="455" t="str" cm="1">
        <f t="array" ref="Q104">_xlfn.LET(_xlpm.cd,INDEX($S:$S,ROW()),IF(_xlpm.cd="","",IFERROR(_xlfn.XLOOKUP(_xlpm.cd,CostData!$C$22:$C$1000,CostData!$B$22:$B$1000,""),"")))</f>
        <v>Aluminium</v>
      </c>
      <c r="R104" s="456" t="s">
        <v>1862</v>
      </c>
      <c r="S104" s="457" t="s">
        <v>1965</v>
      </c>
      <c r="T104" s="455" t="str" cm="1">
        <f t="array" ref="T104">_xlfn.LET(_xlpm.cd,INDEX($S:$S,ROW()),IF(_xlpm.cd="","",IFERROR(_xlfn.XLOOKUP(_xlpm.cd,CostData!$C$22:$C$1000,CostData!$E$22:$E$1000,""),"")))</f>
        <v>Outer / Mullion</v>
      </c>
      <c r="U104" s="455" t="s">
        <v>103</v>
      </c>
      <c r="V104" s="455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104" s="399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4" t="s">
        <v>254</v>
      </c>
      <c r="B105" s="453"/>
      <c r="C105" s="453" t="s">
        <v>1989</v>
      </c>
      <c r="D105" s="453"/>
      <c r="E105" s="453"/>
      <c r="F105" s="453"/>
      <c r="G105" s="453"/>
      <c r="H105" s="453"/>
      <c r="I105" s="453"/>
      <c r="J105" s="453"/>
      <c r="K105" s="453"/>
      <c r="L105" s="453"/>
      <c r="M105" s="453"/>
      <c r="N105" s="453"/>
      <c r="O105" s="453"/>
      <c r="P105" s="455" t="str" cm="1">
        <f t="array" ref="P10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5" s="455" t="str" cm="1">
        <f t="array" ref="Q105">_xlfn.LET(_xlpm.cd,INDEX($S:$S,ROW()),IF(_xlpm.cd="","",IFERROR(_xlfn.XLOOKUP(_xlpm.cd,CostData!$C$22:$C$1000,CostData!$B$22:$B$1000,""),"")))</f>
        <v>Aluminium</v>
      </c>
      <c r="R105" s="456" t="s">
        <v>1861</v>
      </c>
      <c r="S105" s="457" t="s">
        <v>1965</v>
      </c>
      <c r="T105" s="455" t="str" cm="1">
        <f t="array" ref="T105">_xlfn.LET(_xlpm.cd,INDEX($S:$S,ROW()),IF(_xlpm.cd="","",IFERROR(_xlfn.XLOOKUP(_xlpm.cd,CostData!$C$22:$C$1000,CostData!$E$22:$E$1000,""),"")))</f>
        <v>Outer / Mullion</v>
      </c>
      <c r="U105" s="455" t="s">
        <v>103</v>
      </c>
      <c r="V105" s="455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4" t="s">
        <v>254</v>
      </c>
      <c r="B106" s="453"/>
      <c r="C106" s="453" t="s">
        <v>1989</v>
      </c>
      <c r="D106" s="453"/>
      <c r="E106" s="453"/>
      <c r="F106" s="453"/>
      <c r="G106" s="453"/>
      <c r="H106" s="453"/>
      <c r="I106" s="453"/>
      <c r="J106" s="453"/>
      <c r="K106" s="453"/>
      <c r="L106" s="453"/>
      <c r="M106" s="453"/>
      <c r="N106" s="453"/>
      <c r="O106" s="453"/>
      <c r="P106" s="455" t="str" cm="1">
        <f t="array" ref="P10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6" s="455" t="str" cm="1">
        <f t="array" ref="Q106">_xlfn.LET(_xlpm.cd,INDEX($S:$S,ROW()),IF(_xlpm.cd="","",IFERROR(_xlfn.XLOOKUP(_xlpm.cd,CostData!$C$22:$C$1000,CostData!$B$22:$B$1000,""),"")))</f>
        <v>Aluminium</v>
      </c>
      <c r="R106" s="456" t="s">
        <v>1811</v>
      </c>
      <c r="S106" s="457" t="s">
        <v>1964</v>
      </c>
      <c r="T106" s="455" t="str" cm="1">
        <f t="array" ref="T106">_xlfn.LET(_xlpm.cd,INDEX($S:$S,ROW()),IF(_xlpm.cd="","",IFERROR(_xlfn.XLOOKUP(_xlpm.cd,CostData!$C$22:$C$1000,CostData!$E$22:$E$1000,""),"")))</f>
        <v>Outer / Mullion</v>
      </c>
      <c r="U106" s="455" t="s">
        <v>103</v>
      </c>
      <c r="V106" s="455">
        <f>_xlfn.LET(_xlpm.w,Enginuity!$B$6,_xlpm.h,Enginuity!$B$7,_xlpm.tot,(2*_xlpm.w)+(2*_xlpm.h),IF(_xlpm.tot=0,"",_xlpm.tot))</f>
        <v>30</v>
      </c>
      <c r="W106" s="399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4" t="s">
        <v>254</v>
      </c>
      <c r="B107" s="453"/>
      <c r="C107" s="453" t="s">
        <v>1989</v>
      </c>
      <c r="D107" s="453"/>
      <c r="E107" s="453"/>
      <c r="F107" s="453"/>
      <c r="G107" s="453"/>
      <c r="H107" s="453"/>
      <c r="I107" s="453"/>
      <c r="J107" s="453"/>
      <c r="K107" s="453"/>
      <c r="L107" s="453"/>
      <c r="M107" s="453"/>
      <c r="N107" s="453"/>
      <c r="O107" s="453"/>
      <c r="P107" s="455" t="str" cm="1">
        <f t="array" ref="P10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7" s="455" t="str" cm="1">
        <f t="array" ref="Q107">_xlfn.LET(_xlpm.cd,INDEX($S:$S,ROW()),IF(_xlpm.cd="","",IFERROR(_xlfn.XLOOKUP(_xlpm.cd,CostData!$C$22:$C$1000,CostData!$B$22:$B$1000,""),"")))</f>
        <v>Aluminium</v>
      </c>
      <c r="R107" s="456" t="s">
        <v>1862</v>
      </c>
      <c r="S107" s="457" t="s">
        <v>1964</v>
      </c>
      <c r="T107" s="455" t="str" cm="1">
        <f t="array" ref="T107">_xlfn.LET(_xlpm.cd,INDEX($S:$S,ROW()),IF(_xlpm.cd="","",IFERROR(_xlfn.XLOOKUP(_xlpm.cd,CostData!$C$22:$C$1000,CostData!$E$22:$E$1000,""),"")))</f>
        <v>Outer / Mullion</v>
      </c>
      <c r="U107" s="455" t="s">
        <v>103</v>
      </c>
      <c r="V107" s="455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107" s="399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4" t="s">
        <v>254</v>
      </c>
      <c r="B108" s="453"/>
      <c r="C108" s="453" t="s">
        <v>1989</v>
      </c>
      <c r="D108" s="453"/>
      <c r="E108" s="453"/>
      <c r="F108" s="453"/>
      <c r="G108" s="453"/>
      <c r="H108" s="453"/>
      <c r="I108" s="453"/>
      <c r="J108" s="453"/>
      <c r="K108" s="453"/>
      <c r="L108" s="453"/>
      <c r="M108" s="453"/>
      <c r="N108" s="453"/>
      <c r="O108" s="453"/>
      <c r="P108" s="455" t="str" cm="1">
        <f t="array" ref="P10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8" s="455" t="str" cm="1">
        <f t="array" ref="Q108">_xlfn.LET(_xlpm.cd,INDEX($S:$S,ROW()),IF(_xlpm.cd="","",IFERROR(_xlfn.XLOOKUP(_xlpm.cd,CostData!$C$22:$C$1000,CostData!$B$22:$B$1000,""),"")))</f>
        <v>Aluminium</v>
      </c>
      <c r="R108" s="456" t="s">
        <v>1861</v>
      </c>
      <c r="S108" s="457" t="s">
        <v>1964</v>
      </c>
      <c r="T108" s="455" t="str" cm="1">
        <f t="array" ref="T108">_xlfn.LET(_xlpm.cd,INDEX($S:$S,ROW()),IF(_xlpm.cd="","",IFERROR(_xlfn.XLOOKUP(_xlpm.cd,CostData!$C$22:$C$1000,CostData!$E$22:$E$1000,""),"")))</f>
        <v>Outer / Mullion</v>
      </c>
      <c r="U108" s="455" t="s">
        <v>103</v>
      </c>
      <c r="V108" s="455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4" t="s">
        <v>254</v>
      </c>
      <c r="B109" s="453"/>
      <c r="C109" s="453" t="s">
        <v>1989</v>
      </c>
      <c r="D109" s="453"/>
      <c r="E109" s="453"/>
      <c r="F109" s="453"/>
      <c r="G109" s="453"/>
      <c r="H109" s="453"/>
      <c r="I109" s="453"/>
      <c r="J109" s="453"/>
      <c r="K109" s="453"/>
      <c r="L109" s="453"/>
      <c r="M109" s="453"/>
      <c r="N109" s="453"/>
      <c r="O109" s="453"/>
      <c r="P109" s="455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09" s="455" t="s">
        <v>762</v>
      </c>
      <c r="R109" s="458" t="str">
        <f>S109</f>
        <v>24-Box Lattice</v>
      </c>
      <c r="S109" s="459" t="str">
        <f>Enginuity!$A$21</f>
        <v>24-Box Lattice</v>
      </c>
      <c r="T109" s="458" t="str">
        <f>S109</f>
        <v>24-Box Lattice</v>
      </c>
      <c r="U109" s="455" t="s">
        <v>176</v>
      </c>
      <c r="V109" s="455" cm="1">
        <f t="array" ref="V109">_xlfn.LET(_xlpm.vSel,TRIM(SUBSTITUTE(Enginuity!$A$21,CHAR(160)," ")),_xlpm.vCode,TRIM(SUBSTITUTE(INDEX(S:S,ROW()),CHAR(160)," ")),IF(AND(_xlpm.vSel&lt;&gt;"",_xlpm.vCode&lt;&gt;"",_xlpm.vSel=_xlpm.vCode),1,""))</f>
        <v>1</v>
      </c>
      <c r="W109" s="399" t="str" cm="1">
        <f t="array" ref="W109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110" spans="1:23" x14ac:dyDescent="0.25">
      <c r="A110" s="274" t="s">
        <v>254</v>
      </c>
      <c r="B110" s="453"/>
      <c r="C110" s="453" t="s">
        <v>1989</v>
      </c>
      <c r="D110" s="453"/>
      <c r="E110" s="453"/>
      <c r="F110" s="453"/>
      <c r="G110" s="453"/>
      <c r="H110" s="453"/>
      <c r="I110" s="453"/>
      <c r="J110" s="453"/>
      <c r="K110" s="453"/>
      <c r="L110" s="453"/>
      <c r="M110" s="453"/>
      <c r="N110" s="453"/>
      <c r="O110" s="453"/>
      <c r="P110" s="455"/>
      <c r="Q110" s="455"/>
      <c r="R110" s="456"/>
      <c r="S110" s="457"/>
      <c r="T110" s="455"/>
      <c r="U110" s="455"/>
      <c r="V110" s="455"/>
      <c r="W110" s="399"/>
    </row>
    <row r="111" spans="1:23" x14ac:dyDescent="0.25">
      <c r="A111" s="274" t="s">
        <v>254</v>
      </c>
      <c r="B111" s="453"/>
      <c r="C111" s="453" t="s">
        <v>1989</v>
      </c>
      <c r="D111" s="453"/>
      <c r="E111" s="453"/>
      <c r="F111" s="453"/>
      <c r="G111" s="453"/>
      <c r="H111" s="453"/>
      <c r="I111" s="453"/>
      <c r="J111" s="453"/>
      <c r="K111" s="453"/>
      <c r="L111" s="453"/>
      <c r="M111" s="453"/>
      <c r="N111" s="453"/>
      <c r="O111" s="453"/>
      <c r="P111" s="455"/>
      <c r="Q111" s="455"/>
      <c r="R111" s="456"/>
      <c r="S111" s="457"/>
      <c r="T111" s="455"/>
      <c r="U111" s="455"/>
      <c r="V111" s="455"/>
      <c r="W111" s="399"/>
    </row>
    <row r="112" spans="1:23" x14ac:dyDescent="0.25">
      <c r="A112" s="274" t="s">
        <v>254</v>
      </c>
      <c r="B112" s="453"/>
      <c r="C112" s="453" t="s">
        <v>1989</v>
      </c>
      <c r="D112" s="453"/>
      <c r="E112" s="453"/>
      <c r="F112" s="453"/>
      <c r="G112" s="453"/>
      <c r="H112" s="453"/>
      <c r="I112" s="453"/>
      <c r="J112" s="453"/>
      <c r="K112" s="453"/>
      <c r="L112" s="453"/>
      <c r="M112" s="453"/>
      <c r="N112" s="453"/>
      <c r="O112" s="453"/>
      <c r="P112" s="455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455" t="s">
        <v>1832</v>
      </c>
      <c r="R112" s="456" t="str">
        <f>IF($T112="","","⬒ "&amp;$T112)</f>
        <v>⬒ Default</v>
      </c>
      <c r="S112" s="457"/>
      <c r="T112" s="455" t="str">
        <f>IF(Enginuity!$A$20="","",Enginuity!$A$20)</f>
        <v>Default</v>
      </c>
      <c r="U112" s="455" t="s">
        <v>121</v>
      </c>
      <c r="V112" s="455">
        <f>IF(Enginuity!$B$9="","",Enginuity!$B$9)</f>
        <v>56</v>
      </c>
      <c r="W112" s="399">
        <f>IFERROR(INDEX(CostData!$Q$3:$Q$12,MATCH(TRIM(Enginuity!$A$20),CostData!$P$3:$P$12,0)),"")</f>
        <v>3.9</v>
      </c>
    </row>
    <row r="113" spans="1:23" x14ac:dyDescent="0.25">
      <c r="A113" s="274" t="s">
        <v>254</v>
      </c>
      <c r="B113" s="453"/>
      <c r="C113" s="453" t="s">
        <v>1989</v>
      </c>
      <c r="D113" s="453"/>
      <c r="E113" s="453"/>
      <c r="F113" s="453"/>
      <c r="G113" s="453"/>
      <c r="H113" s="453"/>
      <c r="I113" s="453"/>
      <c r="J113" s="453"/>
      <c r="K113" s="453"/>
      <c r="L113" s="453"/>
      <c r="M113" s="453"/>
      <c r="N113" s="453"/>
      <c r="O113" s="453"/>
      <c r="P113" s="455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455"/>
      <c r="R113" s="458"/>
      <c r="S113" s="459"/>
      <c r="T113" s="458"/>
      <c r="U113" s="455"/>
      <c r="V113" s="455"/>
      <c r="W113" s="399"/>
    </row>
    <row r="114" spans="1:23" x14ac:dyDescent="0.25">
      <c r="A114" s="274" t="s">
        <v>254</v>
      </c>
      <c r="B114" s="453"/>
      <c r="C114" s="453" t="s">
        <v>1989</v>
      </c>
      <c r="D114" s="453"/>
      <c r="E114" s="453"/>
      <c r="F114" s="453"/>
      <c r="G114" s="453"/>
      <c r="H114" s="453"/>
      <c r="I114" s="453"/>
      <c r="J114" s="453"/>
      <c r="K114" s="453"/>
      <c r="L114" s="453"/>
      <c r="M114" s="453"/>
      <c r="N114" s="453"/>
      <c r="O114" s="453"/>
      <c r="P114" s="455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4" s="455"/>
      <c r="R114" s="456"/>
      <c r="S114" s="457"/>
      <c r="T114" s="455"/>
      <c r="U114" s="455"/>
      <c r="V114" s="455"/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B115" s="453"/>
      <c r="C115" s="453" t="s">
        <v>1989</v>
      </c>
      <c r="D115" s="453"/>
      <c r="E115" s="453"/>
      <c r="F115" s="453"/>
      <c r="G115" s="453"/>
      <c r="H115" s="453"/>
      <c r="I115" s="453"/>
      <c r="J115" s="453"/>
      <c r="K115" s="453"/>
      <c r="L115" s="453"/>
      <c r="M115" s="453"/>
      <c r="N115" s="453"/>
      <c r="O115" s="453"/>
      <c r="P115" s="455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5" s="455"/>
      <c r="R115" s="456"/>
      <c r="S115" s="457"/>
      <c r="T115" s="455"/>
      <c r="U115" s="455"/>
      <c r="V115" s="455"/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B116" s="453"/>
      <c r="C116" s="453" t="s">
        <v>1989</v>
      </c>
      <c r="D116" s="453"/>
      <c r="E116" s="453"/>
      <c r="F116" s="453"/>
      <c r="G116" s="453"/>
      <c r="H116" s="453"/>
      <c r="I116" s="453"/>
      <c r="J116" s="453"/>
      <c r="K116" s="453"/>
      <c r="L116" s="453"/>
      <c r="M116" s="453"/>
      <c r="N116" s="453"/>
      <c r="O116" s="453"/>
      <c r="P116" s="455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6" s="455"/>
      <c r="R116" s="456"/>
      <c r="S116" s="457"/>
      <c r="T116" s="455"/>
      <c r="U116" s="455"/>
      <c r="V116" s="455"/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B117" s="453"/>
      <c r="C117" s="453" t="s">
        <v>1989</v>
      </c>
      <c r="D117" s="453"/>
      <c r="E117" s="453"/>
      <c r="F117" s="453"/>
      <c r="G117" s="453"/>
      <c r="H117" s="453"/>
      <c r="I117" s="453"/>
      <c r="J117" s="453"/>
      <c r="K117" s="453"/>
      <c r="L117" s="453"/>
      <c r="M117" s="453"/>
      <c r="N117" s="453"/>
      <c r="O117" s="453"/>
      <c r="P117" s="455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455" t="str" cm="1">
        <f t="array" ref="Q117">_xlfn.LET(_xlpm.cd,INDEX($S:$S,ROW()),IF(_xlpm.cd="","",IFERROR(_xlfn.XLOOKUP(_xlpm.cd,CostData!$C$22:$C$1000,CostData!$B$22:$B$1000,""),"")))</f>
        <v>Aluminium</v>
      </c>
      <c r="R117" s="456" t="s">
        <v>1974</v>
      </c>
      <c r="S117" s="457" t="s">
        <v>1972</v>
      </c>
      <c r="T117" s="455" t="str" cm="1">
        <f t="array" ref="T117">_xlfn.LET(_xlpm.cd,INDEX($S:$S,ROW()),IF(_xlpm.cd="","",IFERROR(_xlfn.XLOOKUP(_xlpm.cd,CostData!$C$22:$C$1000,CostData!$E$22:$E$1000,""),"")))</f>
        <v>Misc</v>
      </c>
      <c r="U117" s="455" t="s">
        <v>112</v>
      </c>
      <c r="V117" s="455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4" t="s">
        <v>254</v>
      </c>
      <c r="B118" s="453"/>
      <c r="C118" s="453" t="s">
        <v>1989</v>
      </c>
      <c r="D118" s="453"/>
      <c r="E118" s="453"/>
      <c r="F118" s="453"/>
      <c r="G118" s="453"/>
      <c r="H118" s="453"/>
      <c r="I118" s="453"/>
      <c r="J118" s="453"/>
      <c r="K118" s="453"/>
      <c r="L118" s="453"/>
      <c r="M118" s="453"/>
      <c r="N118" s="453"/>
      <c r="O118" s="453"/>
      <c r="P118" s="455" t="e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#VALUE!</v>
      </c>
      <c r="Q118" s="455" t="e">
        <f>IF($S118="","",IFERROR(_xlfn.XLOOKUP($S118,CostData!$U$22:$U$1000,CostData!$T$22:$T$1000,""),""))</f>
        <v>#VALUE!</v>
      </c>
      <c r="R118" s="456" t="e">
        <f>IF($S118="","",$T118)</f>
        <v>#VALUE!</v>
      </c>
      <c r="S118" s="457" t="e" cm="1">
        <f t="array" ref="S118">IF($V118="","",_xlfn.LET(_xlpm.v,TRIM(Enginuity!$B$18),_xlfn.SWITCH(_xlpm.v,"Curtain Wall","BT40","SF 2""","BT25","SF 3""","BT25","SF 4""","BT25","Z-Louvre Blade - 2""","BT15","Z-Louvre Blade - 5""","BT15","")))</f>
        <v>#VALUE!</v>
      </c>
      <c r="T118" s="455" t="e" cm="1">
        <f t="array" ref="T118">_xlfn.LET(_xlpm.cd,INDEX($S:$S,ROW()),IF(_xlpm.cd="","",IFERROR(_xlfn.XLOOKUP(_xlpm.cd,CostData!$U$22:$U$1000,CostData!$W$22:$W$1000,""),"")))</f>
        <v>#VALUE!</v>
      </c>
      <c r="U118" s="455" t="e">
        <f>IF($S118="","",IFERROR(_xlfn.XLOOKUP($S118,CostData!$U$22:$U$1000,CostData!$AA$22:$AA$1000,""),""))</f>
        <v>#VALUE!</v>
      </c>
      <c r="V118" s="455" t="e">
        <f>_xlfn.LET(_xlpm.tot,SUM(N($V$91),N($V$92),N($V$93))*2,IF(_xlpm.tot=0,"",_xlpm.tot))</f>
        <v>#VALUE!</v>
      </c>
      <c r="W118" s="399" t="e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#VALUE!</v>
      </c>
    </row>
    <row r="119" spans="1:23" x14ac:dyDescent="0.25">
      <c r="A119" s="274" t="s">
        <v>254</v>
      </c>
      <c r="B119" s="453"/>
      <c r="C119" s="453" t="s">
        <v>1989</v>
      </c>
      <c r="D119" s="453"/>
      <c r="E119" s="453"/>
      <c r="F119" s="453"/>
      <c r="G119" s="453"/>
      <c r="H119" s="453"/>
      <c r="I119" s="453"/>
      <c r="J119" s="453"/>
      <c r="K119" s="453"/>
      <c r="L119" s="453"/>
      <c r="M119" s="453"/>
      <c r="N119" s="453"/>
      <c r="O119" s="453"/>
      <c r="P119" s="455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455" t="str">
        <f>IF($S119="","",IFERROR(_xlfn.XLOOKUP($S119,CostData!$U$22:$U$1000,CostData!$T$22:$T$1000,""),""))</f>
        <v>Silicone</v>
      </c>
      <c r="R119" s="456" t="s">
        <v>1987</v>
      </c>
      <c r="S119" s="457" t="s">
        <v>1979</v>
      </c>
      <c r="T119" s="455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455" t="s">
        <v>1988</v>
      </c>
      <c r="V119" s="455" t="str" cm="1">
        <f t="array" ref="V119">_xlfn.LET(
_xlpm.v,TRIM(Enginuity!$B$18),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_xlfn.LET(_xlpm.v,TRIM(Enginuity!$B$18),_xlpm.o,N($V$91),_xlpm.vm,N($V$92),_xlpm.hm,N($V$93),_xlpm.tot,_xlpm.o+_xlpm.vm+_xlpm.hm,IF(OR(_xlpm.v="SF 2""",_xlpm.v="SF 3""",_xlpm.v="SF 4"""),IF(_xlpm.tot=0,"",_xlpm.tot),""))</f>
        <v/>
      </c>
      <c r="W120" s="412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414"/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F161" s="369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F162" s="369" t="s">
        <v>2085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24-Box Lattice</v>
      </c>
      <c r="T162" s="1" t="str">
        <f>IF(Enginuity!$A$21="","",Enginuity!$A$21)</f>
        <v>24-Box Lattice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F163" s="369" t="s">
        <v>2086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F164" s="369" t="s">
        <v>2087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56</v>
      </c>
      <c r="W167" s="399">
        <f>IFERROR(INDEX(CostData!$Q$3:$Q$12,MATCH(TRIM(Enginuity!$A$20),CostData!$P$3:$P$12,0)),"")</f>
        <v>3.9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 t="str">
        <f>_xlfn.LET(_xlpm.p,IF(Enginuity!$B$14&lt;&gt;"",Enginuity!$B$14,Enginuity!$B$13),IF(_xlpm.p="","",4*_xlpm.p))</f>
        <v/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 t="str">
        <f>_xlfn.LET(_xlpm.p,IF(Enginuity!$B$14&lt;&gt;"",Enginuity!$B$14,Enginuity!$B$13),IF(_xlpm.p="","",2*_xlpm.p))</f>
        <v/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732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60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e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 t="e">
        <f>IF(SUM($V$63:$V$64)=0,"",SUM($V$63:$V$64)*2)</f>
        <v>#VALUE!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414"/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F191" s="369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F192" s="369" t="s">
        <v>2085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F193" s="369" t="s">
        <v>2086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F194" s="369" t="s">
        <v>2087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56</v>
      </c>
      <c r="W197" s="399">
        <f>IFERROR(INDEX(CostData!$Q$3:$Q$12,MATCH(TRIM(Enginuity!$A$20),CostData!$P$3:$P$12,0)),"")</f>
        <v>3.9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 t="str">
        <f>IF(Enginuity!$B$13="","",1)</f>
        <v/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 t="str">
        <f>IF(Enginuity!$B$13="","",4*Enginuity!$B$13)</f>
        <v/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 t="str">
        <f>IF(Enginuity!$B$13="","",2*Enginuity!$B$13)</f>
        <v/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732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60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e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e">
        <f>IF(SUM($V$63:$V$64)=0,"",SUM($V$63:$V$64)*2)</f>
        <v>#VALUE!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414"/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0.58540000000000003</v>
      </c>
      <c r="N211" s="408">
        <v>609.6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F221" s="369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F222" s="369" t="s">
        <v>2085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F223" s="369" t="s">
        <v>2086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F224" s="369" t="s">
        <v>2087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56</v>
      </c>
      <c r="W227" s="399">
        <f>IFERROR(INDEX(CostData!$Q$3:$Q$12,MATCH(TRIM(Enginuity!$A$20),CostData!$P$3:$P$12,0)),"")</f>
        <v>3.9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 t="str">
        <f>IF(Enginuity!$B$13="","",1)</f>
        <v/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 t="str">
        <f>IF(Enginuity!$B$13="","",4*Enginuity!$B$13)</f>
        <v/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 t="str">
        <f>IF(Enginuity!$B$13="","",2*Enginuity!$B$13)</f>
        <v/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732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60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e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 t="e">
        <f>IF(SUM($V$63:$V$64)=0,"",SUM($V$63:$V$64)*2)</f>
        <v>#VALUE!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414"/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F251" s="369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F252" s="369" t="s">
        <v>2085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F253" s="369" t="s">
        <v>2086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F254" s="369" t="s">
        <v>2087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56</v>
      </c>
      <c r="W257" s="399">
        <f>IFERROR(INDEX(CostData!$Q$3:$Q$12,MATCH(TRIM(Enginuity!$A$20),CostData!$P$3:$P$12,0)),"")</f>
        <v>3.9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 t="str">
        <f>IF(Enginuity!$B$13="","",1)</f>
        <v/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 t="str">
        <f>IF(Enginuity!$B$13="","",4*Enginuity!$B$13)</f>
        <v/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 t="str">
        <f>IF(Enginuity!$B$13="","",2*Enginuity!$B$13)</f>
        <v/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732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60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e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e">
        <f>IF(SUM($V$63:$V$64)=0,"",SUM($V$63:$V$64)*2)</f>
        <v>#VALUE!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414"/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0.62962300000000004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 t="str">
        <f>IF(OR(Enginuity!$B$13="",Enginuity!$B$7=""),"",Enginuity!$B$13*2*Enginuity!$B$7)</f>
        <v/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 t="str">
        <f>IF(OR(Enginuity!$B$13="",Enginuity!$B$6=""),"",Enginuity!$B$13*2*Enginuity!$B$6)</f>
        <v/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22.240138299381279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F281" s="369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F282" s="369" t="s">
        <v>2085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F283" s="369" t="s">
        <v>2086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22.240138299381279</v>
      </c>
    </row>
    <row r="284" spans="1:23" x14ac:dyDescent="0.25">
      <c r="A284" s="274" t="s">
        <v>254</v>
      </c>
      <c r="C284" s="369" t="s">
        <v>2067</v>
      </c>
      <c r="F284" s="369" t="s">
        <v>2087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56</v>
      </c>
      <c r="W287" s="399">
        <f>IFERROR(INDEX(CostData!$Q$3:$Q$12,MATCH(TRIM(Enginuity!$A$20),CostData!$P$3:$P$12,0)),"")</f>
        <v>3.9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 t="str">
        <f>IF(OR(Enginuity!$B$7="",Enginuity!$B$13=""),"",
Enginuity!$B$13*
IF(Enginuity!$B$7&lt;=7,3,
IF(Enginuity!$B$7&lt;=9,4,
IF(Enginuity!$B$7&lt;=11,5,6))))</f>
        <v/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 t="str">
        <f>Enginuity!$B$13</f>
        <v/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16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e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e">
        <f>IF(Enginuity!B13-1=0,"",(Enginuity!B13-1)*2)</f>
        <v>#VALUE!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e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e">
        <f>IF(Enginuity!B13-1=0,"",(Enginuity!B13-1)*2)</f>
        <v>#VALUE!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 t="str">
        <f>IFERROR(V271+V272,"")</f>
        <v/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 t="str">
        <f>IFERROR(V271+V272,"")</f>
        <v/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/>
      <c r="G301" s="414"/>
      <c r="H301" s="414" t="str">
        <f t="shared" ref="H301:L301" si="16">IFERROR(IF(D1=0,"",D1),"")</f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0.62962300000000004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22</v>
      </c>
      <c r="W301" s="420" t="str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F311" s="369" t="str">
        <f t="shared" ref="F311" si="18">IFERROR(IF(B11=0,"",B11),"")</f>
        <v/>
      </c>
      <c r="G311" s="369" t="str">
        <f t="shared" ref="G311" si="19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3.9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537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22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414"/>
      <c r="G331" s="369" t="str">
        <f>"▼ [Fix - Casement]"</f>
        <v>▼ [Fix - Casement]</v>
      </c>
      <c r="M331" s="419">
        <v>0.54644999999999999</v>
      </c>
      <c r="N331" s="414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G332" s="369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P333" s="1" t="e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e">
        <f>IF(AND(Enginuity!$B$7&gt;0,Enginuity!$B$13&gt;1),(Enginuity!$B$13-1)*Enginuity!$B$7,"")</f>
        <v>#VALUE!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1.4</v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F341" s="369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F342" s="369" t="s">
        <v>2085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F343" s="369" t="s">
        <v>2086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F344" s="369" t="s">
        <v>2087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56</v>
      </c>
      <c r="W347" s="399">
        <f>IFERROR(INDEX(CostData!$Q$3:$Q$12,MATCH(TRIM(Enginuity!$A$20),CostData!$P$3:$P$12,0)),"")</f>
        <v>3.9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 t="str">
        <f>IF(TRIM(Enginuity!$A$22)="Fix Window","",IF(Enginuity!$B$13&gt;0,Enginuity!$B$13,""))</f>
        <v/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 t="str">
        <f>IF(TRIM(Enginuity!$A$22)="Fix Window","",IF(Enginuity!$B$13="","",Enginuity!$B$13))</f>
        <v/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e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 t="e">
        <f>IF(SUM($V$391:$V$394)=0,"",SUM($V$391:$V$394))</f>
        <v>#VALUE!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56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str">
        <f>IF($V$392="","",$V$392)</f>
        <v/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str">
        <f>IF($V$392="","",$V$392)</f>
        <v/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e">
        <f>IF(SUM($V$393:$V$394)=0,"",SUM($V$393:$V$394)*2)</f>
        <v>#VALUE!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/>
      <c r="G361" s="414" t="str">
        <f t="shared" ref="G361" si="20">IFERROR(IF(C61=0,"",C61),"")</f>
        <v>Casement Window Standard</v>
      </c>
      <c r="H361" s="414" t="str">
        <f t="shared" ref="H361" si="21">IFERROR(IF(D61=0,"",D61),"")</f>
        <v>N/A</v>
      </c>
      <c r="I361" s="414" t="str">
        <f t="shared" ref="I361" si="22">IFERROR(IF(E61=0,"",E61),"")</f>
        <v>Default</v>
      </c>
      <c r="J361" s="414" t="str">
        <f t="shared" ref="J361" si="23">IFERROR(IF(F61=0,"",F61),"")</f>
        <v/>
      </c>
      <c r="K361" s="414" t="str">
        <f t="shared" ref="K361" si="24">IFERROR(IF(G61=0,"",G61),"")</f>
        <v>▼ [Fix - Casement]</v>
      </c>
      <c r="L361" s="414" t="str">
        <f t="shared" ref="L361" si="25">IFERROR(IF(H61=0,"",H61),"")</f>
        <v>▼ [Hung Window - Casement]</v>
      </c>
      <c r="M361" s="426">
        <v>0.5212</v>
      </c>
      <c r="N361" s="408">
        <v>762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5.86</v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408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2" s="408" t="str" cm="1">
        <f t="array" ref="Q362">_xlfn.LET(_xlpm.cd,INDEX($S:$S,ROW()),IF(_xlpm.cd="","",IFERROR(_xlfn.XLOOKUP(_xlpm.cd,CostData!$C$22:$C$1000,CostData!$B$22:$B$1000,""),"")))</f>
        <v>Aluminium</v>
      </c>
      <c r="R362" s="424" t="str">
        <f t="shared" ref="R362:R363" si="26">T362</f>
        <v>Swing Door 4" Profile</v>
      </c>
      <c r="S362" s="24" t="s">
        <v>2068</v>
      </c>
      <c r="T362" s="408" t="str" cm="1">
        <f t="array" ref="T362">_xlfn.LET(_xlpm.cd,INDEX($S:$S,ROW()),IF(_xlpm.cd="","",IFERROR(_xlfn.XLOOKUP(_xlpm.cd,CostData!$C$22:$C$1000,CostData!$E$22:$E$1000,""),"")))</f>
        <v>Swing Door 4" Profile</v>
      </c>
      <c r="W362" s="399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7.35</v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408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3" s="408" t="str" cm="1">
        <f t="array" ref="Q363">_xlfn.LET(_xlpm.cd,INDEX($S:$S,ROW()),IF(_xlpm.cd="","",IFERROR(_xlfn.XLOOKUP(_xlpm.cd,CostData!$C$22:$C$1000,CostData!$B$22:$B$1000,""),"")))</f>
        <v>Aluminium</v>
      </c>
      <c r="R363" s="424" t="str">
        <f t="shared" si="26"/>
        <v>Swing Door Centre Clip</v>
      </c>
      <c r="S363" s="24" t="s">
        <v>2071</v>
      </c>
      <c r="T363" s="408" t="str" cm="1">
        <f t="array" ref="T363">_xlfn.LET(_xlpm.cd,INDEX($S:$S,ROW()),IF(_xlpm.cd="","",IFERROR(_xlfn.XLOOKUP(_xlpm.cd,CostData!$C$22:$C$1000,CostData!$E$22:$E$1000,""),"")))</f>
        <v>Swing Door Centre Clip</v>
      </c>
      <c r="W363" s="399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1.1499999999999999</v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408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408" t="str" cm="1">
        <f t="array" ref="Q364">_xlfn.LET(_xlpm.cd,INDEX($S:$S,ROW()),IF(_xlpm.cd="","",IFERROR(_xlfn.XLOOKUP(_xlpm.cd,CostData!$C$22:$C$1000,CostData!$B$22:$B$1000,""),"")))</f>
        <v/>
      </c>
      <c r="T364" s="408" t="str" cm="1">
        <f t="array" ref="T364">_xlfn.LET(_xlpm.cd,INDEX($S:$S,ROW()),IF(_xlpm.cd="","",IFERROR(_xlfn.XLOOKUP(_xlpm.cd,CostData!$C$22:$C$1000,CostData!$E$22:$E$1000,""),"")))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408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408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7">T365</f>
        <v/>
      </c>
      <c r="T365" s="408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408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408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7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408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408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7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408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408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7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408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408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7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408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408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7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F371" s="369" t="str">
        <f>"▼ [Lattice Option]"</f>
        <v>▼ [Lattice Option]</v>
      </c>
      <c r="P371" s="408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408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7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F372" s="369" t="s">
        <v>2085</v>
      </c>
      <c r="P372" s="408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2" s="408" t="str" cm="1">
        <f t="array" ref="Q372">_xlfn.LET(_xlpm.cd,INDEX($S:$S,ROW()),IF(_xlpm.cd="","",IFERROR(_xlfn.XLOOKUP(_xlpm.cd,CostData!$C$22:$C$1000,CostData!$B$22:$B$1000,""),"")))</f>
        <v/>
      </c>
      <c r="W372" s="399"/>
    </row>
    <row r="373" spans="1:23" x14ac:dyDescent="0.25">
      <c r="A373" s="274" t="s">
        <v>255</v>
      </c>
      <c r="C373" s="369" t="s">
        <v>2114</v>
      </c>
      <c r="F373" s="369" t="s">
        <v>2086</v>
      </c>
      <c r="P373" s="408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3" s="408" t="str" cm="1">
        <f t="array" ref="Q373">_xlfn.LET(_xlpm.cd,INDEX($S:$S,ROW()),IF(_xlpm.cd="","",IFERROR(_xlfn.XLOOKUP(_xlpm.cd,CostData!$C$22:$C$1000,CostData!$B$22:$B$1000,""),"")))</f>
        <v/>
      </c>
      <c r="W373" s="399"/>
    </row>
    <row r="374" spans="1:23" x14ac:dyDescent="0.25">
      <c r="A374" s="274" t="s">
        <v>255</v>
      </c>
      <c r="C374" s="369" t="s">
        <v>2114</v>
      </c>
      <c r="F374" s="369" t="s">
        <v>2087</v>
      </c>
      <c r="P374" s="408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4" s="408" t="str" cm="1">
        <f t="array" ref="Q374">_xlfn.LET(_xlpm.cd,INDEX($S:$S,ROW()),IF(_xlpm.cd="","",IFERROR(_xlfn.XLOOKUP(_xlpm.cd,CostData!$C$22:$C$1000,CostData!$B$22:$B$1000,""),"")))</f>
        <v/>
      </c>
      <c r="W374" s="399"/>
    </row>
    <row r="375" spans="1:23" x14ac:dyDescent="0.25">
      <c r="A375" s="274" t="s">
        <v>255</v>
      </c>
      <c r="C375" s="369" t="s">
        <v>2114</v>
      </c>
      <c r="P375" s="408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5" s="408" t="str" cm="1">
        <f t="array" ref="Q375">_xlfn.LET(_xlpm.cd,INDEX($S:$S,ROW()),IF(_xlpm.cd="","",IFERROR(_xlfn.XLOOKUP(_xlpm.cd,CostData!$C$22:$C$1000,CostData!$B$22:$B$1000,""),"")))</f>
        <v/>
      </c>
      <c r="W375" s="399"/>
    </row>
    <row r="376" spans="1:23" x14ac:dyDescent="0.25">
      <c r="A376" s="274" t="s">
        <v>255</v>
      </c>
      <c r="C376" s="369" t="s">
        <v>2114</v>
      </c>
      <c r="P376" s="408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6" s="408" t="str" cm="1">
        <f t="array" ref="Q376">_xlfn.LET(_xlpm.cd,INDEX($S:$S,ROW()),IF(_xlpm.cd="","",IFERROR(_xlfn.XLOOKUP(_xlpm.cd,CostData!$C$22:$C$1000,CostData!$B$22:$B$1000,""),"")))</f>
        <v/>
      </c>
      <c r="W376" s="399"/>
    </row>
    <row r="377" spans="1:23" x14ac:dyDescent="0.25">
      <c r="A377" s="274" t="s">
        <v>255</v>
      </c>
      <c r="C377" s="369" t="s">
        <v>2114</v>
      </c>
      <c r="P377" s="408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7" s="408" t="str" cm="1">
        <f t="array" ref="Q377">_xlfn.LET(_xlpm.cd,INDEX($S:$S,ROW()),IF(_xlpm.cd="","",IFERROR(_xlfn.XLOOKUP(_xlpm.cd,CostData!$C$22:$C$1000,CostData!$B$22:$B$1000,""),"")))</f>
        <v/>
      </c>
      <c r="W377" s="399">
        <f>IFERROR(INDEX(CostData!$Q$3:$Q$12,MATCH(TRIM(Enginuity!$A$20),CostData!$P$3:$P$12,0)),"")</f>
        <v>3.9</v>
      </c>
    </row>
    <row r="378" spans="1:23" x14ac:dyDescent="0.25">
      <c r="A378" s="274" t="s">
        <v>255</v>
      </c>
      <c r="C378" s="369" t="s">
        <v>2114</v>
      </c>
      <c r="P378" s="408" t="str" cm="1">
        <f t="array" ref="P3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8" s="408" t="str" cm="1">
        <f t="array" ref="Q378">_xlfn.LET(_xlpm.cd,INDEX($S:$S,ROW()),IF(_xlpm.cd="","",IFERROR(_xlfn.XLOOKUP(_xlpm.cd,CostData!$C$22:$C$1000,CostData!$B$22:$B$1000,""),"")))</f>
        <v/>
      </c>
      <c r="W378" s="399"/>
    </row>
    <row r="379" spans="1:23" x14ac:dyDescent="0.25">
      <c r="A379" s="274" t="s">
        <v>255</v>
      </c>
      <c r="C379" s="369" t="s">
        <v>2114</v>
      </c>
      <c r="Q379" s="408" t="str" cm="1">
        <f t="array" ref="Q379">_xlfn.LET(_xlpm.cd,INDEX($S:$S,ROW()),IF(_xlpm.cd="","",IFERROR(_xlfn.XLOOKUP(_xlpm.cd,CostData!$C$22:$C$1000,CostData!$B$22:$B$1000,""),"")))</f>
        <v/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414"/>
      <c r="G391" s="369" t="str">
        <f>"▼ [Fix - Casement]"</f>
        <v>▼ [Fix - Casement]</v>
      </c>
      <c r="M391" s="410">
        <v>0.5212</v>
      </c>
      <c r="N391" s="369">
        <v>762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e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 t="e">
        <f>IF(AND(Enginuity!$B$7&gt;0,Enginuity!$B$13&gt;1),(Enginuity!$B$13-1)*Enginuity!$B$7,"")</f>
        <v>#VALUE!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1.4</v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F401" s="369" t="str">
        <f>"▼ [Lattice Option]"</f>
        <v>▼ [Lattice Option]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F402" s="369" t="s">
        <v>2085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F403" s="369" t="s">
        <v>2086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F404" s="369" t="s">
        <v>2087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Default</v>
      </c>
      <c r="T407" s="1" t="str">
        <f>IF(Enginuity!$A$20="","",Enginuity!$A$20)</f>
        <v>Default</v>
      </c>
      <c r="U407" s="1" t="s">
        <v>121</v>
      </c>
      <c r="V407" s="1">
        <f>IF(Enginuity!$B$9="","",Enginuity!$B$9)</f>
        <v>56</v>
      </c>
      <c r="W407" s="399">
        <f>IFERROR(INDEX(CostData!$Q$3:$Q$12,MATCH(TRIM(Enginuity!$A$20),CostData!$P$3:$P$12,0)),"")</f>
        <v>3.9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 t="str">
        <f>IF(TRIM(Enginuity!$A$22)="Fix Window","",IF(Enginuity!$B$13&gt;0,Enginuity!$B$13,""))</f>
        <v/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 t="str">
        <f>IF(TRIM(Enginuity!$A$22)="Fix Window","",IF(Enginuity!$B$13="","",Enginuity!$B$13))</f>
        <v/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e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 t="e">
        <f>IF(SUM($V$391:$V$394)=0,"",SUM($V$391:$V$394))</f>
        <v>#VALUE!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56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str">
        <f>IF($V$392="","",$V$392)</f>
        <v/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str">
        <f>IF($V$392="","",$V$392)</f>
        <v/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 t="e">
        <f>IF(SUM($V$393:$V$394)=0,"",SUM($V$393:$V$394)*2)</f>
        <v>#VALUE!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414"/>
      <c r="G421" s="369" t="str">
        <f>"▼ [Fix - Casement]"</f>
        <v>▼ [Fix - Casement]</v>
      </c>
      <c r="M421" s="410">
        <v>0.47260799999999997</v>
      </c>
      <c r="N421" s="369">
        <v>762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e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 t="e">
        <f>IF(AND(Enginuity!$B$7&gt;0,Enginuity!$B$13&gt;1),(Enginuity!$B$13-1)*Enginuity!$B$7,"")</f>
        <v>#VALUE!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1.4</v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F431" s="369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F432" s="369" t="s">
        <v>2085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F433" s="369" t="s">
        <v>2086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F434" s="369" t="s">
        <v>2087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Default</v>
      </c>
      <c r="T437" s="1" t="str">
        <f>IF(Enginuity!$A$20="","",Enginuity!$A$20)</f>
        <v>Default</v>
      </c>
      <c r="U437" s="1" t="s">
        <v>121</v>
      </c>
      <c r="V437" s="1">
        <f>IF(Enginuity!$B$9="","",Enginuity!$B$9)</f>
        <v>56</v>
      </c>
      <c r="W437" s="399">
        <f>IFERROR(INDEX(CostData!$Q$3:$Q$12,MATCH(TRIM(Enginuity!$A$20),CostData!$P$3:$P$12,0)),"")</f>
        <v>3.9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 t="str">
        <f>IF(TRIM(Enginuity!$A$22)="Fix Window","",IF(Enginuity!$B$13&gt;0,Enginuity!$B$13,""))</f>
        <v/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 t="str">
        <f>IF(TRIM(Enginuity!$A$22)="Fix Window","",IF(Enginuity!$B$13="","",Enginuity!$B$13))</f>
        <v/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e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 t="e">
        <f>IF(SUM($V$391:$V$394)=0,"",SUM($V$391:$V$394))</f>
        <v>#VALUE!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56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 t="str">
        <f>IF($V$392="","",$V$392)</f>
        <v/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 t="str">
        <f>IF($V$392="","",$V$392)</f>
        <v/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 t="e">
        <f>IF(SUM($V$393:$V$394)=0,"",SUM($V$393:$V$394)*2)</f>
        <v>#VALUE!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414"/>
      <c r="M451" s="410">
        <v>0.47260799999999997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8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8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14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8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8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8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8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8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8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8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 t="str">
        <f>IF(OR(Enginuity!$B$7="",Enginuity!$B$6="",Enginuity!$B$13=""),"",((Enginuity!$B$13*2)*Enginuity!$B$7)+(Enginuity!$B$6*2))</f>
        <v/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8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 t="str">
        <f>IF(OR(Enginuity!$B$7="",Enginuity!$B$6="",Enginuity!$B$13=""),"",((Enginuity!$B$13*2)*Enginuity!$B$7)+(Enginuity!$B$6*2))</f>
        <v/>
      </c>
      <c r="W457" s="399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8.91</v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8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14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F461" s="369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F462" s="369" t="s">
        <v>2085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F463" s="369" t="s">
        <v>2086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F464" s="369" t="s">
        <v>2087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Default</v>
      </c>
      <c r="S465" s="1"/>
      <c r="T465" s="1" t="str">
        <f>IF(Enginuity!$A$20="","",Enginuity!$A$20)</f>
        <v>Default</v>
      </c>
      <c r="U465" s="1" t="s">
        <v>121</v>
      </c>
      <c r="V465" s="1">
        <f>IF(Enginuity!$B$9="","",Enginuity!$B$9)</f>
        <v>56</v>
      </c>
      <c r="W465" s="399">
        <f>IFERROR(INDEX(CostData!$Q$3:$Q$12,MATCH(TRIM(Enginuity!$A$20),CostData!$P$3:$P$12,0)),"")</f>
        <v>3.9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466" s="1"/>
      <c r="W466" s="412"/>
    </row>
    <row r="467" spans="1:23" x14ac:dyDescent="0.25">
      <c r="A467" s="274" t="s">
        <v>255</v>
      </c>
      <c r="C467" s="369" t="s">
        <v>89</v>
      </c>
      <c r="P467" s="1" t="e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67" s="1" t="str">
        <f>IF($S467="","",IFERROR(_xlfn.XLOOKUP($S467,CostData!$U$22:$U$1000,CostData!$T$22:$T$1000,""),""))</f>
        <v>Lock</v>
      </c>
      <c r="R467" s="16" t="str">
        <f t="shared" ref="R467:R473" si="29">T467</f>
        <v>ML1616 Black Set</v>
      </c>
      <c r="S467" s="1" t="s">
        <v>2134</v>
      </c>
      <c r="T467" s="1" t="str" cm="1">
        <f t="array" ref="T467">_xlfn.LET(_xlpm.cd,INDEX($S:$S,ROW()),IF(_xlpm.cd="","",IFERROR(_xlfn.XLOOKUP(_xlpm.cd,CostData!$U$22:$U$1000,CostData!$W$22:$W$1000,""),"")))</f>
        <v>ML1616 Black Set</v>
      </c>
      <c r="U467" s="1" t="s">
        <v>176</v>
      </c>
      <c r="V467" s="1" t="e">
        <f>IF(MOD(Enginuity!$B$13,2)=1,1,0)</f>
        <v>#VALUE!</v>
      </c>
      <c r="W467" s="412" t="str" cm="1">
        <f t="array" ref="W4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8" spans="1:23" x14ac:dyDescent="0.25">
      <c r="A468" s="274" t="s">
        <v>255</v>
      </c>
      <c r="C468" s="369" t="s">
        <v>89</v>
      </c>
      <c r="P468" s="1" t="e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68" s="1" t="str">
        <f>IF($S468="","",IFERROR(_xlfn.XLOOKUP($S468,CostData!$U$22:$U$1000,CostData!$T$22:$T$1000,""),""))</f>
        <v>Lock</v>
      </c>
      <c r="R468" s="16" t="str">
        <f t="shared" si="29"/>
        <v>MSW-8112 TC78 Matt Black Latch Bolt</v>
      </c>
      <c r="S468" s="1" t="s">
        <v>2132</v>
      </c>
      <c r="T468" s="1" t="str" cm="1">
        <f t="array" ref="T468">_xlfn.LET(_xlpm.cd,INDEX($S:$S,ROW()),IF(_xlpm.cd="","",IFERROR(_xlfn.XLOOKUP(_xlpm.cd,CostData!$U$22:$U$1000,CostData!$W$22:$W$1000,""),"")))</f>
        <v>MSW-8112 TC78 Matt Black Latch Bolt</v>
      </c>
      <c r="U468" s="1" t="s">
        <v>111</v>
      </c>
      <c r="V468" s="1" t="e">
        <f>(FLOOR(Enginuity!$B$13/2,1)*2)+IF(MOD(Enginuity!$B$13,2)=1,2,0)</f>
        <v>#VALUE!</v>
      </c>
      <c r="W468" s="412" t="str" cm="1">
        <f t="array" ref="W4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9" spans="1:23" x14ac:dyDescent="0.25">
      <c r="A469" s="274" t="s">
        <v>255</v>
      </c>
      <c r="C469" s="369" t="s">
        <v>89</v>
      </c>
      <c r="P469" s="1" t="e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69" s="1" t="str">
        <f>IF($S469="","",IFERROR(_xlfn.XLOOKUP($S469,CostData!$U$22:$U$1000,CostData!$T$22:$T$1000,""),""))</f>
        <v>Roller</v>
      </c>
      <c r="R469" s="16" t="str">
        <f t="shared" si="29"/>
        <v>84TR Top Roller 4 Nylon Wheels Black</v>
      </c>
      <c r="S469" s="1" t="s">
        <v>2130</v>
      </c>
      <c r="T469" s="1" t="str" cm="1">
        <f t="array" ref="T469">_xlfn.LET(_xlpm.cd,INDEX($S:$S,ROW()),IF(_xlpm.cd="","",IFERROR(_xlfn.XLOOKUP(_xlpm.cd,CostData!$U$22:$U$1000,CostData!$W$22:$W$1000,""),"")))</f>
        <v>84TR Top Roller 4 Nylon Wheels Black</v>
      </c>
      <c r="U469" s="1" t="s">
        <v>112</v>
      </c>
      <c r="V469" s="1" t="e">
        <f>FLOOR(Enginuity!$B$13/2,1)</f>
        <v>#VALUE!</v>
      </c>
      <c r="W469" s="412" t="str" cm="1">
        <f t="array" ref="W4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0" spans="1:23" x14ac:dyDescent="0.25">
      <c r="A470" s="274" t="s">
        <v>255</v>
      </c>
      <c r="C470" s="369" t="s">
        <v>89</v>
      </c>
      <c r="P470" s="1" t="e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0" s="1" t="str">
        <f>IF($S470="","",IFERROR(_xlfn.XLOOKUP($S470,CostData!$U$22:$U$1000,CostData!$T$22:$T$1000,""),""))</f>
        <v>Guide</v>
      </c>
      <c r="R470" s="16" t="str">
        <f t="shared" si="29"/>
        <v>88BG(R) Bottom Guide Exposed Black</v>
      </c>
      <c r="S470" s="1" t="s">
        <v>2149</v>
      </c>
      <c r="T470" s="1" t="str" cm="1">
        <f t="array" ref="T470">_xlfn.LET(_xlpm.cd,INDEX($S:$S,ROW()),IF(_xlpm.cd="","",IFERROR(_xlfn.XLOOKUP(_xlpm.cd,CostData!$U$22:$U$1000,CostData!$W$22:$W$1000,""),"")))</f>
        <v>88BG(R) Bottom Guide Exposed Black</v>
      </c>
      <c r="U470" s="1" t="s">
        <v>112</v>
      </c>
      <c r="V470" s="1" t="e">
        <f>FLOOR(Enginuity!$B$13/2,1)</f>
        <v>#VALUE!</v>
      </c>
      <c r="W470" s="412" t="str" cm="1">
        <f t="array" ref="W4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1" spans="1:23" x14ac:dyDescent="0.25">
      <c r="A471" s="274" t="s">
        <v>255</v>
      </c>
      <c r="C471" s="369" t="s">
        <v>89</v>
      </c>
      <c r="P471" s="1" t="e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1" s="1" t="str">
        <f>IF($S471="","",IFERROR(_xlfn.XLOOKUP($S471,CostData!$U$22:$U$1000,CostData!$T$22:$T$1000,""),""))</f>
        <v>Handle</v>
      </c>
      <c r="R471" s="16" t="str">
        <f t="shared" si="29"/>
        <v>T28 Black Collapsible Door Handle</v>
      </c>
      <c r="S471" s="1" t="s">
        <v>2126</v>
      </c>
      <c r="T471" s="1" t="str" cm="1">
        <f t="array" ref="T471">_xlfn.LET(_xlpm.cd,INDEX($S:$S,ROW()),IF(_xlpm.cd="","",IFERROR(_xlfn.XLOOKUP(_xlpm.cd,CostData!$U$22:$U$1000,CostData!$W$22:$W$1000,""),"")))</f>
        <v>T28 Black Collapsible Door Handle</v>
      </c>
      <c r="U471" s="1" t="s">
        <v>112</v>
      </c>
      <c r="V471" s="1" t="e">
        <f>FLOOR(Enginuity!$B$13/2,1)</f>
        <v>#VALUE!</v>
      </c>
      <c r="W471" s="412" t="str" cm="1">
        <f t="array" ref="W47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2" spans="1:23" x14ac:dyDescent="0.25">
      <c r="A472" s="274" t="s">
        <v>255</v>
      </c>
      <c r="C472" s="369" t="s">
        <v>89</v>
      </c>
      <c r="P472" s="1" t="e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2" s="1" t="str">
        <f>IF($S472="","",IFERROR(_xlfn.XLOOKUP($S472,CostData!$U$22:$U$1000,CostData!$T$22:$T$1000,""),""))</f>
        <v>Lock</v>
      </c>
      <c r="R472" s="16" t="str">
        <f t="shared" si="29"/>
        <v>T29 Folding Door Acc Lockcase Black</v>
      </c>
      <c r="S472" s="1" t="s">
        <v>2128</v>
      </c>
      <c r="T472" s="1" t="str" cm="1">
        <f t="array" ref="T472">_xlfn.LET(_xlpm.cd,INDEX($S:$S,ROW()),IF(_xlpm.cd="","",IFERROR(_xlfn.XLOOKUP(_xlpm.cd,CostData!$U$22:$U$1000,CostData!$W$22:$W$1000,""),"")))</f>
        <v>T29 Folding Door Acc Lockcase Black</v>
      </c>
      <c r="U472" s="1" t="s">
        <v>112</v>
      </c>
      <c r="V472" s="1" t="e">
        <f>FLOOR(Enginuity!$B$13/2,1)</f>
        <v>#VALUE!</v>
      </c>
      <c r="W472" s="412" t="str" cm="1">
        <f t="array" ref="W47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9"/>
        <v>82MH Folding Door Mid Hinge Black</v>
      </c>
      <c r="S473" s="1" t="s">
        <v>2121</v>
      </c>
      <c r="T473" s="1" t="str" cm="1">
        <f t="array" ref="T473">_xlfn.LET(_xlpm.cd,INDEX($S:$S,ROW()),IF(_xlpm.cd="","",IFERROR(_xlfn.XLOOKUP(_xlpm.cd,CostData!$U$22:$U$1000,CostData!$W$22:$W$1000,""),"")))</f>
        <v>82MH Folding Door Mid Hinge Black</v>
      </c>
      <c r="U473" s="1" t="s">
        <v>112</v>
      </c>
      <c r="V473" s="1" t="e">
        <f>(Enginuity!$B$13*
  IF(Enginuity!$B$7&lt;=7,3,
  IF(Enginuity!$B$7&lt;=9,4,
  IF(Enginuity!$B$7&lt;=11,5,6))))
  - (2*FLOOR((Enginuity!$B$13-1)/2,1))</f>
        <v>#VALUE!</v>
      </c>
      <c r="W473" s="412"/>
    </row>
    <row r="474" spans="1:23" x14ac:dyDescent="0.25">
      <c r="A474" s="274" t="s">
        <v>255</v>
      </c>
      <c r="C474" s="369" t="s">
        <v>89</v>
      </c>
      <c r="P474" s="1" t="e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 t="e">
        <f>(FLOOR(Enginuity!$B$13/2,1)*2)+IF(MOD(Enginuity!$B$13,2)=1,2,0)</f>
        <v>#VALUE!</v>
      </c>
      <c r="W474" s="412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30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 t="str">
        <f>IF(AND(ISNUMBER(Enginuity!$B$13), Enginuity!$B$13&gt;0), Enginuity!$B$13*4, "")</f>
        <v/>
      </c>
      <c r="W475" s="412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e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6" s="1" t="str">
        <f>IF($S476="","",IFERROR(_xlfn.XLOOKUP($S476,CostData!$U$22:$U$1000,CostData!$T$22:$T$1000,""),""))</f>
        <v>Black Tape</v>
      </c>
      <c r="R476" s="16" t="str">
        <f t="shared" si="30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W476" s="412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30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732</v>
      </c>
      <c r="W477" s="412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6" t="str">
        <f t="shared" si="30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>
        <f>IF(AND(Enginuity!$B$6&gt;0, Enginuity!$B$7&gt;0), ROUND(((Enginuity!$B$6 + Enginuity!$B$7) * 2), 2), "")</f>
        <v>30</v>
      </c>
      <c r="W478" s="412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e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 t="e">
        <f>IF(AND(Enginuity!$B$6&gt;0, Enginuity!$B$7&gt;0, Enginuity!$B$13&gt;0), (2 * Enginuity!$B$7 * Enginuity!$B$13) + (2 * Enginuity!$B$6), "")</f>
        <v>#VALUE!</v>
      </c>
      <c r="W479" s="412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 t="e">
        <f>IF(SUM($V$393:$V$394)=0,"",SUM($V$393:$V$394)*2)</f>
        <v>#VALUE!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414"/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0.52659999999999996</v>
      </c>
      <c r="N481" s="369">
        <v>914.4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e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t="e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e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F491" s="369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F492" s="369" t="s">
        <v>2085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F493" s="369" t="s">
        <v>2086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F494" s="369" t="s">
        <v>2087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56</v>
      </c>
      <c r="W497" s="399">
        <f>IFERROR(INDEX(CostData!$Q$3:$Q$12,MATCH(TRIM(Enginuity!$A$20),CostData!$P$3:$P$12,0)),"")</f>
        <v>3.9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 t="str">
        <f>IF(Enginuity!$B$13&gt;0,Enginuity!$B$13,"")</f>
        <v/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t="str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e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 t="e">
        <f>IF(SUM($V$61:$V$64)=0,"",SUM($V$61:$V$64))</f>
        <v>#VALUE!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56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e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 t="e">
        <f>IF($V$62="","",$V$62)</f>
        <v>#VALUE!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e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 t="e">
        <f>IF($V$62="","",$V$62)</f>
        <v>#VALUE!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 t="e">
        <f>IF(SUM($V$63:$V$64)=0,"",SUM($V$63:$V$64)*2)</f>
        <v>#VALUE!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414"/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0.64075099999999996</v>
      </c>
      <c r="N511" s="369">
        <v>762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e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t="e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e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F521" s="369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F522" s="369" t="s">
        <v>2085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F523" s="369" t="s">
        <v>2086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F524" s="369" t="s">
        <v>2087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56</v>
      </c>
      <c r="W527" s="399">
        <f>IFERROR(INDEX(CostData!$Q$3:$Q$12,MATCH(TRIM(Enginuity!$A$20),CostData!$P$3:$P$12,0)),"")</f>
        <v>3.9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 t="str">
        <f>IF(Enginuity!$B$13&gt;0,Enginuity!$B$13,"")</f>
        <v/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t="str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e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 t="e">
        <f>IF(SUM($V$61:$V$64)=0,"",SUM($V$61:$V$64))</f>
        <v>#VALUE!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56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e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 t="e">
        <f>IF($V$62="","",$V$62)</f>
        <v>#VALUE!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e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 t="e">
        <f>IF($V$62="","",$V$62)</f>
        <v>#VALUE!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 t="e">
        <f>IF(SUM($V$63:$V$64)=0,"",SUM($V$63:$V$64)*2)</f>
        <v>#VALUE!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4" priority="5"/>
  </conditionalFormatting>
  <conditionalFormatting sqref="T31:W31 P31">
    <cfRule type="duplicateValues" dxfId="3" priority="1"/>
  </conditionalFormatting>
  <conditionalFormatting sqref="T60:W60 P60">
    <cfRule type="duplicateValues" dxfId="2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59" activePane="bottomLeft" state="frozen"/>
      <selection pane="bottomLeft" activeCell="AB70" sqref="AB70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10.448571428571428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11.27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10.448571428571428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11.27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D36" sqref="D36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IF(AND(_xlpm.vHdr&lt;&gt;"",_xlpm.vHdr&lt;&gt;"▼ [Product Subtype]"),_xlpm.vHdr,"")),"")</f>
        <v>▼ [Lattice Option]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Casement Window Standard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N/A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Default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/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5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Multi-Point Conceal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_xlpm.vSeg,INDEX(CalcEngine!$F:$F,_xlpm.vTop+11):INDEX(CalcEngine!$F:$F,_xlpm.vTop+19),IF(AND(_xlpm.vHdr&lt;&gt;"",_xlpm.vHdr&lt;&gt;"▼ [Product Subtype]"),_xlfn._xlws.FILTER(_xlpm.vSeg,TRIM(_xlpm.vSeg)&lt;&gt;""),"")),"")</f>
        <v>08-Box Lattice</v>
      </c>
      <c r="G2" t="str" cm="1">
        <f t="array" ref="G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Casement Window Multi-Point Exposed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</row>
    <row r="4" spans="1:12" x14ac:dyDescent="0.25">
      <c r="B4" t="str">
        <v>Supply &amp; Install</v>
      </c>
      <c r="C4" t="str">
        <v>Folding Door Conceal</v>
      </c>
      <c r="D4" t="str">
        <v>M/B</v>
      </c>
      <c r="E4" t="str">
        <v>Z-Louvre Blade - 5"</v>
      </c>
      <c r="F4" t="str">
        <v>24-Box Lattice</v>
      </c>
    </row>
    <row r="5" spans="1:12" x14ac:dyDescent="0.25">
      <c r="B5" t="str">
        <v>Supply Only</v>
      </c>
      <c r="C5" t="str">
        <v>Folding Door Exposed</v>
      </c>
      <c r="D5" t="str">
        <v>W/G</v>
      </c>
    </row>
    <row r="31" spans="2:2" x14ac:dyDescent="0.25">
      <c r="B31" s="369"/>
    </row>
    <row r="41" spans="2:2" x14ac:dyDescent="0.25">
      <c r="B41" s="369" t="str" cm="1">
        <f t="array" ref="B41">IF(SUMPRODUCT(--(LEN(B42:B80)&gt;0))&gt;0,"▼ [Product Subtype]","")</f>
        <v/>
      </c>
    </row>
    <row r="42" spans="2:2" x14ac:dyDescent="0.25">
      <c r="B42" t="str" cm="1">
        <f t="array" ref="B42">IFERROR(_xlfn.LET(_xlpm.vRows,_xlfn._xlws.FILTER(ROW(CalcEngine!$A$61:$A$5000),(TRIM(CalcEngine!$A$61:$A$5000)=TRIM(Enginuity!$A$1))*(TRIM(CalcEngine!$C$61:$C$5000)=TRIM(Enginuity!$A$18))*(TRIM(CalcEngine!$D$61:$D$5000)=TRIM(Enginuity!$A$19))),_xlpm.vTops,_xlfn.UNIQUE(61+30*INT((_xlpm.vRows-61)/30)),_xlpm.vTop,INDEX(_xlfn._xlws.FILTER(_xlpm.vTops,TRIM(INDEX(CalcEngine!$F:$F,_xlpm.vTops))="▼ [Product Subtype]"),1),_xlpm.vSeg,INDEX(CalcEngine!$F:$F,_xlpm.vTop+1):INDEX(CalcEngine!$F:$F,_xlpm.vTop+9),_xlfn._xlws.FILTER(_xlpm.vSeg,TRIM(_xlpm.vSeg)&lt;&gt;"")),"")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22</v>
      </c>
      <c r="E2" s="243">
        <v>11.46</v>
      </c>
      <c r="F2" s="104">
        <f>IF(D2*E2=0, "", D2*E2)</f>
        <v>252.12</v>
      </c>
      <c r="G2" s="18" t="s">
        <v>9</v>
      </c>
      <c r="H2" s="10">
        <f>2*Enginuity!$B$6 + 2*Enginuity!$B$7</f>
        <v>30</v>
      </c>
      <c r="I2" s="17">
        <v>1.1000000000000001</v>
      </c>
      <c r="J2" s="82">
        <f>IF(H2*I2=0, "", H2*I2)</f>
        <v>33</v>
      </c>
      <c r="K2" s="342"/>
      <c r="L2" s="346"/>
      <c r="M2" s="88">
        <v>1</v>
      </c>
      <c r="N2" s="92" t="str">
        <f>Enginuity!A19</f>
        <v>N/A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30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8</v>
      </c>
      <c r="E3" s="243">
        <v>2.99</v>
      </c>
      <c r="F3" s="104">
        <f t="shared" ref="F3:F49" si="0">IF(D3*E3=0, "", D3*E3)</f>
        <v>23.92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30</v>
      </c>
      <c r="P3" s="14" t="s">
        <v>266</v>
      </c>
      <c r="Q3" s="82" t="e">
        <f>IF(AND(Enginuity!$B$6&gt;0, Enginuity!$B$7&gt;0, Enginuity!$B$13&gt;0), (2 * Enginuity!$B$7 * Enginuity!$B$13) + (2 * Enginuity!$B$6), "")</f>
        <v>#VALUE!</v>
      </c>
      <c r="U3" s="103" t="e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>#VALUE!</v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8</v>
      </c>
      <c r="E4" s="243">
        <v>5.7</v>
      </c>
      <c r="F4" s="104">
        <f t="shared" si="0"/>
        <v>45.6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 t="e">
        <f>IF(AND(Enginuity!$B$6&gt;0, Enginuity!$B$7&gt;0, Enginuity!$B$13&gt;0), (2 * Enginuity!$B$7 * Enginuity!$B$13) + (2 * Enginuity!$B$6), "")</f>
        <v>#VALUE!</v>
      </c>
      <c r="P4" s="14" t="s">
        <v>263</v>
      </c>
      <c r="Q4" s="82">
        <f>IF(Enginuity!$B$6&gt;0, Enginuity!$B$6, "")</f>
        <v>8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 t="e">
        <f>IF(AND(Enginuity!$B$6&gt;0, Enginuity!$B$7&gt;0, Enginuity!$B$13&gt;0), ((2*Enginuity!$B$7*Enginuity!$B$13)+(2*Enginuity!$B$6))*2, "")</f>
        <v>#VALUE!</v>
      </c>
      <c r="P5" s="14" t="s">
        <v>264</v>
      </c>
      <c r="Q5" s="82">
        <f>IF(Enginuity!$B$7&gt;0, Enginuity!$B$7, "")</f>
        <v>7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E6" s="243">
        <v>0.56999999999999995</v>
      </c>
      <c r="F6" s="104">
        <f t="shared" si="0"/>
        <v>31.919999999999998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P6" s="14" t="s">
        <v>265</v>
      </c>
      <c r="Q6" s="82" t="e">
        <f>IF(AND(Enginuity!$B$7&gt;0, Enginuity!$B$13&gt;1), (Enginuity!$B$13 - 1) * Enginuity!$B$7, "")</f>
        <v>#VALUE!</v>
      </c>
      <c r="U6" s="103" t="e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>#VALUE!</v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 t="e">
        <f xml:space="preserve"> ((2*1*Enginuity!$B$13 + 2*Enginuity!$B$6) * $B$7)
+ (((Enginuity!$B$13-1)*1) * $B$8)
+ ($B$2 * Enginuity!$B$13)
+ ($B$3 * Enginuity!$B$13)</f>
        <v>#VALUE!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 t="str">
        <f>Enginuity!$B$13</f>
        <v/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 t="e">
        <f xml:space="preserve"> ((2*1*Enginuity!$B$13 + 2*Enginuity!$B$6) * $B$9)
+ (((Enginuity!$B$13-1)*1) * $B$8)</f>
        <v>#VALUE!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P8" s="14" t="s">
        <v>278</v>
      </c>
      <c r="Q8" s="82">
        <f>Enginuity!$B$6*2</f>
        <v>16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 t="e">
        <f>(3*Enginuity!$B$6)+(Enginuity!$B$7*Enginuity!$B$13)</f>
        <v>#VALUE!</v>
      </c>
      <c r="E9" s="244">
        <v>1.86</v>
      </c>
      <c r="F9" s="104" t="e">
        <f t="shared" si="0"/>
        <v>#VALUE!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 t="e">
        <f>Enginuity!$B$13*IF(TRIM(Enginuity!$A$21)="1'H X ?'W X Qty Panel Top Hung (Casement Profile)",2,1)</f>
        <v>#VALUE!</v>
      </c>
      <c r="P9" s="14" t="s">
        <v>281</v>
      </c>
      <c r="Q9" s="97">
        <f>Enginuity!$B$6</f>
        <v>8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 t="e">
        <f>(4*Enginuity!$B$6)+(2*Enginuity!$B$7*Enginuity!$B$13)</f>
        <v>#VALUE!</v>
      </c>
      <c r="E10" s="244">
        <v>1.86</v>
      </c>
      <c r="F10" s="104" t="e">
        <f t="shared" si="0"/>
        <v>#VALUE!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 t="e">
        <f>Enginuity!$B$13*4</f>
        <v>#VALUE!</v>
      </c>
      <c r="P10" s="14" t="s">
        <v>282</v>
      </c>
      <c r="Q10" s="82">
        <f>Enginuity!$B$6*2</f>
        <v>16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 t="e">
        <f>($B$2 * Enginuity!$B$13)
+ ($B$3 * Enginuity!$B$13)
+ ((2*1 + 2*Enginuity!$B$6) * $B$6)
+ ((2*1*Enginuity!$B$13 + 2*Enginuity!$B$6) * $B$7)
+ (((Enginuity!$B$13-1)*1) * $B$8)
+ (Enginuity!$B$6 * $B$4)</f>
        <v>#VALUE!</v>
      </c>
      <c r="F11" s="104" t="e">
        <f>IF(D11*E11=0, "", D11*E11)</f>
        <v>#VALUE!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 t="e">
        <f>Enginuity!$B$13*2</f>
        <v>#VALUE!</v>
      </c>
      <c r="P11" s="14" t="s">
        <v>283</v>
      </c>
      <c r="Q11" s="82">
        <f>Enginuity!$B$6*2</f>
        <v>16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 t="e">
        <f>((2*1 + 2*Enginuity!$B$6) * $B$6)
+ ((2*1*Enginuity!$B$13 + 2*Enginuity!$B$6) * $B$9)
+ (((Enginuity!$B$13-1)*1) * $B$8)
+ (Enginuity!$B$6 * $B$4)</f>
        <v>#VALUE!</v>
      </c>
      <c r="F12" s="104" t="e">
        <f>IF(D12*E12=0, "", D12*E12)</f>
        <v>#VALUE!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32</v>
      </c>
      <c r="P12" s="14" t="s">
        <v>284</v>
      </c>
      <c r="Q12" s="97">
        <f>Enginuity!$B$6</f>
        <v>8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 t="e">
        <f>Enginuity!$B$13 *
 IF(Enginuity!$B$7&lt;7,3,
 IF(AND(Enginuity!$B$7&gt;=8,Enginuity!$B$7&lt;=9),4,
 IF(AND(Enginuity!$B$7&gt;=10,Enginuity!$B$7&lt;=11),5,
 IF(AND(Enginuity!$B$7&gt;=12,Enginuity!$B$7&lt;=13),6,
 0))))</f>
        <v>#VALUE!</v>
      </c>
      <c r="P13" s="14" t="s">
        <v>285</v>
      </c>
      <c r="Q13" s="82">
        <f>Enginuity!$B$6*2</f>
        <v>16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 t="str">
        <f>IF(AND(ISNUMBER(Enginuity!B13), Enginuity!B13&gt;0), Enginuity!B13*4, "")</f>
        <v/>
      </c>
      <c r="P14" s="14" t="s">
        <v>286</v>
      </c>
      <c r="Q14" s="82">
        <f>IF(Enginuity!$B$7&gt;0, 2 * Enginuity!$B$7, "")</f>
        <v>14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14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14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8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8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 t="e">
        <f>IF(AND(Enginuity!$B$7&gt;0, Enginuity!$B$13&gt;0), Enginuity!$B$7 * Enginuity!$B$13, "")</f>
        <v>#VALUE!</v>
      </c>
      <c r="U19" s="103" t="e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>#VALUE!</v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 t="e">
        <f>IF(AND(Enginuity!$B$7&gt;0, Enginuity!$B$13&gt;0), Enginuity!$B$7 * Enginuity!$B$13, "")</f>
        <v>#VALUE!</v>
      </c>
      <c r="U20" s="103" t="e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>#VALUE!</v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7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14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14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30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 t="e">
        <f>$Q$3</f>
        <v>#VALUE!</v>
      </c>
      <c r="U52" s="103" t="e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>#VALUE!</v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 t="e">
        <f>IF(AND(Enginuity!$B$7&gt;0, Enginuity!$B$13&gt;1), (Enginuity!$B$13 - 1) * Enginuity!$B$7, "")</f>
        <v>#VALUE!</v>
      </c>
      <c r="U54" s="103" t="e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>#VALUE!</v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24-Box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30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 t="e">
        <f>$Q$3</f>
        <v>#VALUE!</v>
      </c>
      <c r="U62" s="103" t="e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>#VALUE!</v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 t="e">
        <f>IF(AND(Enginuity!$B$7&gt;0, Enginuity!$B$13&gt;1), (Enginuity!$B$13 - 1) * Enginuity!$B$7, "")</f>
        <v>#VALUE!</v>
      </c>
      <c r="U64" s="103" t="e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>#VALUE!</v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24-Box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N/A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30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 t="e">
        <f>IF(AND(Enginuity!$B$6&gt;0, Enginuity!$B$7&gt;0, Enginuity!$B$13&gt;0), (2 * Enginuity!$B$7 * Enginuity!$B$13) + (2 * Enginuity!$B$6), "")</f>
        <v>#VALUE!</v>
      </c>
      <c r="U80" s="103" t="e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>#VALUE!</v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 t="e">
        <f>IF(AND(Enginuity!$B$6&gt;0, Enginuity!$B$7&gt;0, Enginuity!$B$13&gt;0), ((2*Enginuity!$B$7*Enginuity!$B$13)+(2*Enginuity!$B$6))*2, "")</f>
        <v>#VALUE!</v>
      </c>
      <c r="U81" s="103" t="e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>#VALUE!</v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2" s="103" t="e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>#VALUE!</v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 t="e">
        <f>Enginuity!$B$13*IF(TRIM(Enginuity!$A$21)="1'H X ?'W X Qty Panel Top Hung (Casement Profile)",2,1)</f>
        <v>#VALUE!</v>
      </c>
      <c r="U83" s="103" t="e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>#VALUE!</v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 t="e">
        <f>Enginuity!$B$13*IF(TRIM(Enginuity!$A$21)="1'H X ?'W X Qty Panel Top Hung (Casement Profile)",2,1)</f>
        <v>#VALUE!</v>
      </c>
      <c r="U84" s="103" t="e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>#VALUE!</v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8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8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14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16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16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14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8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8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 t="e">
        <f>IF(AND(Enginuity!$B$7&gt;0, Enginuity!$B$13&gt;0), Enginuity!$B$7 * Enginuity!$B$13, "")</f>
        <v>#VALUE!</v>
      </c>
      <c r="U108" s="103" t="e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>#VALUE!</v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 t="e">
        <f>IF(AND(Enginuity!$B$7&gt;0, Enginuity!$B$13&gt;0), Enginuity!$B$7 * Enginuity!$B$13, "")</f>
        <v>#VALUE!</v>
      </c>
      <c r="U109" s="103" t="e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>#VALUE!</v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7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24-Box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8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8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14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16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16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14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8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8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 t="e">
        <f>IF(AND(Enginuity!$B$7&gt;0, Enginuity!$B$13&gt;0), Enginuity!$B$7 * Enginuity!$B$13, "")</f>
        <v>#VALUE!</v>
      </c>
      <c r="U126" s="103" t="e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>#VALUE!</v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 t="e">
        <f>IF(AND(Enginuity!$B$7&gt;0, Enginuity!$B$13&gt;0), Enginuity!$B$7 * Enginuity!$B$13, "")</f>
        <v>#VALUE!</v>
      </c>
      <c r="U127" s="103" t="e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>#VALUE!</v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7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24-Box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N/A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30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 t="e">
        <f>IF(AND(Enginuity!$B$6&gt;0, Enginuity!$B$7&gt;0, Enginuity!$B$13&gt;0), (2 * Enginuity!$B$7 * Enginuity!$B$13) + (2 * Enginuity!$B$6), "")</f>
        <v>#VALUE!</v>
      </c>
      <c r="U141" s="103" t="e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>#VALUE!</v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 t="e">
        <f>IF(AND(Enginuity!$B$6&gt;0, Enginuity!$B$7&gt;0, Enginuity!$B$13&gt;0), ((2*Enginuity!$B$7*Enginuity!$B$13)+(2*Enginuity!$B$6))*2, "")</f>
        <v>#VALUE!</v>
      </c>
      <c r="U142" s="103" t="e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>#VALUE!</v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43" s="103" t="e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>#VALUE!</v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 t="str">
        <f>Enginuity!$B$13</f>
        <v/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 t="e">
        <f>Enginuity!$B$13*4</f>
        <v>#VALUE!</v>
      </c>
      <c r="U147" s="103" t="e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>#VALUE!</v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 t="e">
        <f>Enginuity!$B$13*2</f>
        <v>#VALUE!</v>
      </c>
      <c r="U148" s="103" t="e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>#VALUE!</v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8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8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14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16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16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14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8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8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 t="e">
        <f>IF(AND(Enginuity!$B$7&gt;0, Enginuity!$B$13&gt;0), Enginuity!$B$7 * Enginuity!$B$13, "")</f>
        <v>#VALUE!</v>
      </c>
      <c r="U157" s="103" t="e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>#VALUE!</v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 t="e">
        <f>IF(AND(Enginuity!$B$7&gt;0, Enginuity!$B$13&gt;0), Enginuity!$B$7 * Enginuity!$B$13, "")</f>
        <v>#VALUE!</v>
      </c>
      <c r="U158" s="103" t="e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>#VALUE!</v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7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24-Box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8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8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14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16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16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14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8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8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 t="e">
        <f>IF(AND(Enginuity!$B$7&gt;0, Enginuity!$B$13&gt;0), Enginuity!$B$7 * Enginuity!$B$13, "")</f>
        <v>#VALUE!</v>
      </c>
      <c r="U175" s="103" t="e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>#VALUE!</v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 t="e">
        <f>IF(AND(Enginuity!$B$7&gt;0, Enginuity!$B$13&gt;0), Enginuity!$B$7 * Enginuity!$B$13, "")</f>
        <v>#VALUE!</v>
      </c>
      <c r="U176" s="103" t="e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>#VALUE!</v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7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24-Box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N/A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30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 t="e">
        <f>IF(AND(Enginuity!$B$6&gt;0, Enginuity!$B$7&gt;0, Enginuity!$B$13&gt;0), (2 * Enginuity!$B$7 * Enginuity!$B$13) + (2 * Enginuity!$B$6), "")</f>
        <v>#VALUE!</v>
      </c>
      <c r="U190" s="103" t="e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>#VALUE!</v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 t="e">
        <f>IF(AND(Enginuity!$B$6&gt;0, Enginuity!$B$7&gt;0, Enginuity!$B$13&gt;0), ((2*Enginuity!$B$7*Enginuity!$B$13)+(2*Enginuity!$B$6))*2, "")</f>
        <v>#VALUE!</v>
      </c>
      <c r="U191" s="103" t="e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>#VALUE!</v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92" s="103" t="e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>#VALUE!</v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 t="str">
        <f>Enginuity!$B$13</f>
        <v/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 t="e">
        <f>Enginuity!$B$13*4</f>
        <v>#VALUE!</v>
      </c>
      <c r="U196" s="103" t="e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>#VALUE!</v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 t="e">
        <f>Enginuity!$B$13*2</f>
        <v>#VALUE!</v>
      </c>
      <c r="U197" s="103" t="e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>#VALUE!</v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16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14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8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14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32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 t="e">
        <f>$Q$3</f>
        <v>#VALUE!</v>
      </c>
      <c r="U203" s="103" t="e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>#VALUE!</v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14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16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14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8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14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32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 t="e">
        <f>$Q$3</f>
        <v>#VALUE!</v>
      </c>
      <c r="U218" s="103" t="e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>#VALUE!</v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14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N/A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 t="e">
        <f>IF(AND(Enginuity!$B$6&gt;0, Enginuity!$B$7&gt;0, Enginuity!$B$13&gt;0), ((2*Enginuity!$B$7*Enginuity!$B$13)+(2*Enginuity!$B$6))*2, "")</f>
        <v>#VALUE!</v>
      </c>
      <c r="U237" s="103" t="e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>#VALUE!</v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38" s="103" t="e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>#VALUE!</v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 t="str">
        <f>Enginuity!$B$13</f>
        <v/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 t="e">
        <f>Enginuity!$B$13*2</f>
        <v>#VALUE!</v>
      </c>
      <c r="U242" s="103" t="e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>#VALUE!</v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 t="e">
        <f>Enginuity!$B$13*2</f>
        <v>#VALUE!</v>
      </c>
      <c r="U243" s="103" t="e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>#VALUE!</v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16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 t="e">
        <f>IF(Enginuity!$B$13-1=0, "", Enginuity!$B$13-1)</f>
        <v>#VALUE!</v>
      </c>
      <c r="U245" s="103" t="e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>#VALUE!</v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 t="e">
        <f>IF(Enginuity!$B$13-1=0, "", Enginuity!$B$13-1)</f>
        <v>#VALUE!</v>
      </c>
      <c r="U246" s="103" t="e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>#VALUE!</v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 t="e">
        <f>$Q$3</f>
        <v>#VALUE!</v>
      </c>
      <c r="U247" s="103" t="e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>#VALUE!</v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14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24-Box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252.12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 t="e">
        <f>$Q$3</f>
        <v>#VALUE!</v>
      </c>
      <c r="U257" s="103" t="e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>#VALUE!</v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14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24-Box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N/A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 t="e">
        <f>IF(AND(Enginuity!$B$6&gt;0, Enginuity!$B$7&gt;0, Enginuity!$B$13&gt;0), ((2*Enginuity!$B$7*Enginuity!$B$13)+(2*Enginuity!$B$6))*2, "")</f>
        <v>#VALUE!</v>
      </c>
      <c r="U286" s="103" t="e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>#VALUE!</v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87" s="103" t="e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>#VALUE!</v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 t="str">
        <f>IF(OR(Enginuity!$B$7="",Enginuity!$B$13=""),"",
Enginuity!$B$13*
IF(Enginuity!$B$7&lt;=7,3,
IF(Enginuity!$B$7&lt;=9,4,
IF(Enginuity!$B$7&lt;=11,5,6))))</f>
        <v/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 t="str">
        <f>Enginuity!$B$13</f>
        <v/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16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 t="e">
        <f>IF(Enginuity!$B$13-1=0, "", Enginuity!$B$13-1)</f>
        <v>#VALUE!</v>
      </c>
      <c r="U294" s="103" t="e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>#VALUE!</v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 t="e">
        <f>IF(Enginuity!$B$13-1=0, "", Enginuity!$B$13-1)</f>
        <v>#VALUE!</v>
      </c>
      <c r="U295" s="103" t="e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>#VALUE!</v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30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44" s="103" t="e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>#VALUE!</v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30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 t="e">
        <f>(Enginuity!$B$13 - 1) * Enginuity!$B$7</f>
        <v>#VALUE!</v>
      </c>
      <c r="U347" s="103" t="e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>#VALUE!</v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24-Box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30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 t="e">
        <f>(Enginuity!$B$13 - 1) * Enginuity!$B$7</f>
        <v>#VALUE!</v>
      </c>
      <c r="U357" s="103" t="e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>#VALUE!</v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24-Box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N/A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 t="e">
        <f>IF(AND(Enginuity!$B$6&gt;0, Enginuity!$B$7&gt;0, Enginuity!$B$13&gt;0), ((2*Enginuity!$B$7*Enginuity!$B$13)+(2*Enginuity!$B$6))*2, "")</f>
        <v>#VALUE!</v>
      </c>
      <c r="U390" s="103" t="e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>#VALUE!</v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91" s="103" t="e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>#VALUE!</v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30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 t="e">
        <f>(Enginuity!$B$13 - 1) * Enginuity!$B$7</f>
        <v>#VALUE!</v>
      </c>
      <c r="U396" s="103" t="e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>#VALUE!</v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24-Box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30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 t="e">
        <f>(Enginuity!$B$13 - 1) * Enginuity!$B$7</f>
        <v>#VALUE!</v>
      </c>
      <c r="U406" s="103" t="e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>#VALUE!</v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24-Box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N/A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 t="e">
        <f>IF(AND(Enginuity!$B$6&gt;0, Enginuity!$B$7&gt;0, Enginuity!$B$13&gt;0), ((2*Enginuity!$B$7*Enginuity!$B$13)+(2*Enginuity!$B$6))*2, "")</f>
        <v>#VALUE!</v>
      </c>
      <c r="U439" s="103" t="e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>#VALUE!</v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440" s="103" t="e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>#VALUE!</v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 t="e">
        <f>Enginuity!$B$7*(Enginuity!$B$13+1)</f>
        <v>#VALUE!</v>
      </c>
      <c r="U443" s="103" t="e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>#VALUE!</v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8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7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30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28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56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56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56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56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N/A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 t="e">
        <f>Enginuity!$B$7*(Enginuity!$B$13+1)</f>
        <v>#VALUE!</v>
      </c>
      <c r="U455" s="103" t="e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>#VALUE!</v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8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7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30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28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56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56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56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56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N/A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 t="e">
        <f>Enginuity!$B$7*Enginuity!$B$13</f>
        <v>#VALUE!</v>
      </c>
      <c r="U467" s="103" t="e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>#VALUE!</v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8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30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56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30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30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30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56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 t="e">
        <f>Enginuity!$B$7*Enginuity!$B$13</f>
        <v>#VALUE!</v>
      </c>
      <c r="U475" s="103" t="e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>#VALUE!</v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56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56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56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N/A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 t="e">
        <f>Enginuity!$B$13 * Enginuity!$B$7</f>
        <v>#VALUE!</v>
      </c>
      <c r="U481" s="103" t="e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>#VALUE!</v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30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4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4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30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 t="e">
        <f>Enginuity!$B$13 * Enginuity!$B$7</f>
        <v>#VALUE!</v>
      </c>
      <c r="U492" s="103" t="e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>#VALUE!</v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3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 t="e">
        <f>ROUNDUP(Enginuity!B6 * 304.8 / Enginuity!B15, 0) * 2</f>
        <v>#VALUE!</v>
      </c>
      <c r="U494" s="103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#VALUE!</v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8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8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 t="e">
        <f>ROUNDUP(Enginuity!B6 * 304.8 / Enginuity!B15, 0) * 8</f>
        <v>#VALUE!</v>
      </c>
      <c r="U497" s="103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#VALUE!</v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30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N/A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 t="e">
        <f>ROUNDUP((Enginuity!$B$6*2 + Enginuity!$B$13*2*Enginuity!$B$7)/3, 0)</f>
        <v>#VALUE!</v>
      </c>
      <c r="U503" s="103" t="e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>#VALUE!</v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 t="e">
        <f>ROUNDUP((((Enginuity!$B$13-1)*Enginuity!$B$7)*2/32.8)*1.1, 0)</f>
        <v>#VALUE!</v>
      </c>
      <c r="U505" s="103" t="e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>#VALUE!</v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30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N/A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 t="e">
        <f>ROUNDUP((Enginuity!$B$6*2 + Enginuity!$B$13*2*Enginuity!$B$7)/3, 0)</f>
        <v>#VALUE!</v>
      </c>
      <c r="U510" s="103" t="e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>#VALUE!</v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 t="e">
        <f>ROUNDUP((((Enginuity!$B$13-1)*Enginuity!$B$7)*2/32.8)*1.1, 0)</f>
        <v>#VALUE!</v>
      </c>
      <c r="U512" s="103" t="e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>#VALUE!</v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N/A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 t="str">
        <f>Enginuity!$B$13</f>
        <v/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 t="str">
        <f>Enginuity!$B$13</f>
        <v/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30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 t="e">
        <f>$Q$3</f>
        <v>#VALUE!</v>
      </c>
      <c r="U542" s="103" t="e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>#VALUE!</v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 t="e">
        <f>$Q$6</f>
        <v>#VALUE!</v>
      </c>
      <c r="U544" s="103" t="e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>#VALUE!</v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 t="e">
        <f>$Q$3</f>
        <v>#VALUE!</v>
      </c>
      <c r="U545" s="103" t="e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>#VALUE!</v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 t="e">
        <f>Enginuity!$B$7*Enginuity!$B$13</f>
        <v>#VALUE!</v>
      </c>
      <c r="U546" s="103" t="e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>#VALUE!</v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24-Box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N/A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30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 t="e">
        <f>IF(AND(Enginuity!$B$6&gt;0, Enginuity!$B$7&gt;0, Enginuity!$B$13&gt;0), (2 * Enginuity!$B$7 * Enginuity!$B$13) + (2 * Enginuity!$B$6), "")</f>
        <v>#VALUE!</v>
      </c>
      <c r="U572" s="103" t="e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>#VALUE!</v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 t="e">
        <f>IF(AND(Enginuity!$B$6&gt;0, Enginuity!$B$7&gt;0, Enginuity!$B$13&gt;0), ((2*Enginuity!$B$7*Enginuity!$B$13)+(2*Enginuity!$B$6))*2, "")</f>
        <v>#VALUE!</v>
      </c>
      <c r="U573" s="103" t="e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>#VALUE!</v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574" s="103" t="e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>#VALUE!</v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 t="e">
        <f>Enginuity!$B$13*IF(TRIM(Enginuity!$A$21)="1'H X ?'W X Qty Panel Top Hung (Casement Profile)",2,1)</f>
        <v>#VALUE!</v>
      </c>
      <c r="U575" s="103" t="e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>#VALUE!</v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 t="e">
        <f>Enginuity!$B$13*IF(TRIM(Enginuity!$A$21)="1'H X ?'W X Qty Panel Top Hung (Casement Profile)",2,1)</f>
        <v>#VALUE!</v>
      </c>
      <c r="U576" s="103" t="e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>#VALUE!</v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 t="str">
        <f>IF(AND(ISNUMBER(Enginuity!$B$13), Enginuity!$B$13&gt;0), Enginuity!$B$13*4, "")</f>
        <v/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 t="str">
        <f>IF(AND(ISNUMBER(Enginuity!$B$13), Enginuity!$B$13&gt;0), Enginuity!$B$13*4, "")</f>
        <v/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 t="e">
        <f>Enginuity!$B$13*4</f>
        <v>#VALUE!</v>
      </c>
      <c r="U580" s="103" t="e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>#VALUE!</v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 t="e">
        <f>Enginuity!$B$13*
 IF(Enginuity!$B$7&lt;5,2,
 IF(Enginuity!$B$7&lt;6,3,
 IF(Enginuity!$B$7&lt;=7,4,5)))</f>
        <v>#VALUE!</v>
      </c>
      <c r="U581" s="103" t="e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>#VALUE!</v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 t="e">
        <f>Enginuity!$B$13*
 IF(Enginuity!$B$7&lt;5,2,
 IF(Enginuity!$B$7&lt;6,3,
 IF(Enginuity!$B$7&lt;=7,4,5)))</f>
        <v>#VALUE!</v>
      </c>
      <c r="U582" s="103" t="e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>#VALUE!</v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 t="e">
        <f>Enginuity!$B$13*2</f>
        <v>#VALUE!</v>
      </c>
      <c r="U583" s="103" t="e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>#VALUE!</v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 t="e">
        <f>Enginuity!$B$13*2</f>
        <v>#VALUE!</v>
      </c>
      <c r="U584" s="103" t="e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>#VALUE!</v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 t="e">
        <f>Enginuity!$B$13*1</f>
        <v>#VALUE!</v>
      </c>
      <c r="U585" s="103" t="e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>#VALUE!</v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30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 t="e">
        <f>$Q$3</f>
        <v>#VALUE!</v>
      </c>
      <c r="U591" s="103" t="e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>#VALUE!</v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 t="e">
        <f>$Q$6</f>
        <v>#VALUE!</v>
      </c>
      <c r="U593" s="103" t="e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>#VALUE!</v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 t="e">
        <f>Enginuity!$B$7*Enginuity!$B$13</f>
        <v>#VALUE!</v>
      </c>
      <c r="U594" s="103" t="e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>#VALUE!</v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24-Box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N/A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30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 t="e">
        <f>IF(AND(Enginuity!$B$6&gt;0, Enginuity!$B$7&gt;0, Enginuity!$B$13&gt;0), (2 * Enginuity!$B$7 * Enginuity!$B$13) + (2 * Enginuity!$B$6), "")</f>
        <v>#VALUE!</v>
      </c>
      <c r="U621" s="103" t="e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>#VALUE!</v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 t="e">
        <f>IF(AND(Enginuity!$B$6&gt;0, Enginuity!$B$7&gt;0, Enginuity!$B$13&gt;0), ((2*Enginuity!$B$7*Enginuity!$B$13)+(2*Enginuity!$B$6))*2, "")</f>
        <v>#VALUE!</v>
      </c>
      <c r="U622" s="103" t="e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>#VALUE!</v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23" s="103" t="e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>#VALUE!</v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 t="e">
        <f>Enginuity!$B$13*IF(TRIM(Enginuity!$A$21)="1'H X ?'W X Qty Panel Top Hung (Casement Profile)",2,1)</f>
        <v>#VALUE!</v>
      </c>
      <c r="U624" s="103" t="e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>#VALUE!</v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 t="e">
        <f>Enginuity!$B$13*IF(TRIM(Enginuity!$A$21)="1'H X ?'W X Qty Panel Top Hung (Casement Profile)",2,1)</f>
        <v>#VALUE!</v>
      </c>
      <c r="U625" s="103" t="e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>#VALUE!</v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 t="str">
        <f>IF(AND(ISNUMBER(Enginuity!$B$13), Enginuity!$B$13&gt;0), Enginuity!$B$13*4, "")</f>
        <v/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 t="e">
        <f>Enginuity!$B$13*
 IF(Enginuity!$B$7&lt;5,2,
 IF(Enginuity!$B$7&lt;6,3,
 IF(Enginuity!$B$7&lt;=7,4,5)))</f>
        <v>#VALUE!</v>
      </c>
      <c r="U628" s="103" t="e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>#VALUE!</v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 t="e">
        <f>Enginuity!$B$13*
 IF(Enginuity!$B$7&lt;5,2,
 IF(Enginuity!$B$7&lt;6,3,
 IF(Enginuity!$B$7&lt;=7,4,5)))</f>
        <v>#VALUE!</v>
      </c>
      <c r="U629" s="103" t="e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>#VALUE!</v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 t="e">
        <f>Enginuity!$B$13*2</f>
        <v>#VALUE!</v>
      </c>
      <c r="U630" s="103" t="e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>#VALUE!</v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 t="e">
        <f>Enginuity!$B$13*2</f>
        <v>#VALUE!</v>
      </c>
      <c r="U631" s="103" t="e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>#VALUE!</v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 t="e">
        <f>Enginuity!$B$13*1</f>
        <v>#VALUE!</v>
      </c>
      <c r="U632" s="103" t="e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>#VALUE!</v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30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 t="e">
        <f>$Q$3</f>
        <v>#VALUE!</v>
      </c>
      <c r="U640" s="103" t="e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>#VALUE!</v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 t="e">
        <f>$Q$6</f>
        <v>#VALUE!</v>
      </c>
      <c r="U642" s="103" t="e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>#VALUE!</v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 t="e">
        <f>Enginuity!$B$7*Enginuity!$B$13</f>
        <v>#VALUE!</v>
      </c>
      <c r="U644" s="103" t="e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>#VALUE!</v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24-Box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N/A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30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 t="e">
        <f>IF(AND(Enginuity!$B$6&gt;0, Enginuity!$B$7&gt;0, Enginuity!$B$13&gt;0), (2 * Enginuity!$B$7 * Enginuity!$B$13) + (2 * Enginuity!$B$6), "")</f>
        <v>#VALUE!</v>
      </c>
      <c r="U670" s="103" t="e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>#VALUE!</v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 t="e">
        <f>IF(AND(Enginuity!$B$6&gt;0, Enginuity!$B$7&gt;0, Enginuity!$B$13&gt;0), ((2*Enginuity!$B$7*Enginuity!$B$13)+(2*Enginuity!$B$6))*2, "")</f>
        <v>#VALUE!</v>
      </c>
      <c r="U671" s="103" t="e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>#VALUE!</v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72" s="103" t="e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>#VALUE!</v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 t="e">
        <f>Enginuity!$B$13*IF(TRIM(Enginuity!$A$21)="1'H X ?'W X Qty Panel Top Hung (Casement Profile)",2,1)</f>
        <v>#VALUE!</v>
      </c>
      <c r="U673" s="103" t="e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>#VALUE!</v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 t="e">
        <f>Enginuity!$B$13*IF(TRIM(Enginuity!$A$21)="1'H X ?'W X Qty Panel Top Hung (Casement Profile)",2,1)</f>
        <v>#VALUE!</v>
      </c>
      <c r="U674" s="103" t="e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>#VALUE!</v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 t="str">
        <f>IF(AND(ISNUMBER(Enginuity!$B$13), Enginuity!$B$13&gt;0), Enginuity!$B$13*4, "")</f>
        <v/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 t="e">
        <f>Enginuity!$B$13*
 IF(Enginuity!$B$7&lt;5,2,
 IF(Enginuity!$B$7&lt;6,3,
 IF(Enginuity!$B$7&lt;=7,4,5)))</f>
        <v>#VALUE!</v>
      </c>
      <c r="U677" s="103" t="e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>#VALUE!</v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 t="e">
        <f>Enginuity!$B$13*
 IF(Enginuity!$B$7&lt;5,2,
 IF(Enginuity!$B$7&lt;6,3,
 IF(Enginuity!$B$7&lt;=7,4,5)))</f>
        <v>#VALUE!</v>
      </c>
      <c r="U678" s="103" t="e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>#VALUE!</v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 t="e">
        <f>Enginuity!$B$13*2</f>
        <v>#VALUE!</v>
      </c>
      <c r="U679" s="103" t="e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>#VALUE!</v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 t="e">
        <f>Enginuity!$B$13*2</f>
        <v>#VALUE!</v>
      </c>
      <c r="U680" s="103" t="e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>#VALUE!</v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 t="e">
        <f>Enginuity!$B$13*1</f>
        <v>#VALUE!</v>
      </c>
      <c r="U681" s="103" t="e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>#VALUE!</v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8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8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14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 t="e">
        <f>$Q$3</f>
        <v>#VALUE!</v>
      </c>
      <c r="U691" s="103" t="e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>#VALUE!</v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14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 t="e">
        <f>Enginuity!$B$7*Enginuity!$B$13</f>
        <v>#VALUE!</v>
      </c>
      <c r="U693" s="103" t="e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>#VALUE!</v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24-Box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N/A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30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 t="e">
        <f>IF(AND(Enginuity!$B$6&gt;0, Enginuity!$B$7&gt;0, Enginuity!$B$13&gt;0), (2 * Enginuity!$B$7 * Enginuity!$B$13) + (2 * Enginuity!$B$6), "")</f>
        <v>#VALUE!</v>
      </c>
      <c r="U719" s="103" t="e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>#VALUE!</v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 t="e">
        <f>IF(AND(Enginuity!$B$6&gt;0, Enginuity!$B$7&gt;0, Enginuity!$B$13&gt;0), ((2*Enginuity!$B$7*Enginuity!$B$13)+(2*Enginuity!$B$6))*2, "")</f>
        <v>#VALUE!</v>
      </c>
      <c r="U720" s="103" t="e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>#VALUE!</v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21" s="103" t="e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>#VALUE!</v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 t="e">
        <f>IF(MOD(Enginuity!$B$13,2)=1,1,0)</f>
        <v>#VALUE!</v>
      </c>
      <c r="U722" s="103" t="e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>#VALUE!</v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 t="e">
        <f>FLOOR(Enginuity!$B$13/2,1)</f>
        <v>#VALUE!</v>
      </c>
      <c r="U723" s="103" t="e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>#VALUE!</v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 t="str">
        <f>IF(AND(ISNUMBER(Enginuity!$B$13), Enginuity!$B$13&gt;0), Enginuity!$B$13*4, "")</f>
        <v/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 t="e">
        <f>FLOOR(Enginuity!$B$13/2,1)</f>
        <v>#VALUE!</v>
      </c>
      <c r="U725" s="103" t="e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>#VALUE!</v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 t="e">
        <f>(Enginuity!$B$13*
  IF(Enginuity!$B$7&lt;=7,3,
  IF(Enginuity!$B$7&lt;=9,4,
  IF(Enginuity!$B$7&lt;=11,5,6))))
  - (2*FLOOR((Enginuity!$B$13-1)/2,1))</f>
        <v>#VALUE!</v>
      </c>
      <c r="U726" s="103" t="e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>#VALUE!</v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 t="e">
        <f>FLOOR(Enginuity!$B$13/2,1)</f>
        <v>#VALUE!</v>
      </c>
      <c r="U727" s="103" t="e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>#VALUE!</v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 t="e">
        <f>(FLOOR(Enginuity!$B$13/2,1)*2)+IF(MOD(Enginuity!$B$13,2)=1,2,0)</f>
        <v>#VALUE!</v>
      </c>
      <c r="U728" s="103" t="e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>#VALUE!</v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8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8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14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16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16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14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8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8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 t="e">
        <f>IF(AND(Enginuity!$B$7&gt;0, Enginuity!$B$13&gt;0), Enginuity!$B$7 * Enginuity!$B$13, "")</f>
        <v>#VALUE!</v>
      </c>
      <c r="U745" s="103" t="e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>#VALUE!</v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 t="e">
        <f>IF(AND(Enginuity!$B$7&gt;0, Enginuity!$B$13&gt;0), Enginuity!$B$7 * Enginuity!$B$13, "")</f>
        <v>#VALUE!</v>
      </c>
      <c r="U746" s="103" t="e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>#VALUE!</v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14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24-Box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N/A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30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 t="e">
        <f>IF(AND(Enginuity!$B$6&gt;0, Enginuity!$B$7&gt;0, Enginuity!$B$13&gt;0), (2 * Enginuity!$B$7 * Enginuity!$B$13) + (2 * Enginuity!$B$6), "")</f>
        <v>#VALUE!</v>
      </c>
      <c r="U758" s="103" t="e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>#VALUE!</v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 t="e">
        <f>IF(AND(Enginuity!$B$6&gt;0, Enginuity!$B$7&gt;0, Enginuity!$B$13&gt;0), ((2*Enginuity!$B$7*Enginuity!$B$13)+(2*Enginuity!$B$6))*2, "")</f>
        <v>#VALUE!</v>
      </c>
      <c r="U759" s="103" t="e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>#VALUE!</v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60" s="103" t="e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>#VALUE!</v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 t="str">
        <f>IF(AND(ISNUMBER(Enginuity!$B$13), Enginuity!$B$13&gt;0), Enginuity!$B$13*4, "")</f>
        <v/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 t="str">
        <f>Enginuity!$B$13</f>
        <v/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 t="e">
        <f>Enginuity!$B$13*2</f>
        <v>#VALUE!</v>
      </c>
      <c r="U766" s="103" t="e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>#VALUE!</v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 t="e">
        <f>Enginuity!$B$13*4</f>
        <v>#VALUE!</v>
      </c>
      <c r="U768" s="103" t="e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>#VALUE!</v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 t="e">
        <f>Enginuity!$B$13*2</f>
        <v>#VALUE!</v>
      </c>
      <c r="U769" s="103" t="e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>#VALUE!</v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8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8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14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16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16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14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8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8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 t="e">
        <f>IF(AND(Enginuity!$B$7&gt;0, Enginuity!$B$13&gt;0), Enginuity!$B$7 * Enginuity!$B$13, "")</f>
        <v>#VALUE!</v>
      </c>
      <c r="U794" s="103" t="e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>#VALUE!</v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 t="e">
        <f>IF(AND(Enginuity!$B$7&gt;0, Enginuity!$B$13&gt;0), Enginuity!$B$7 * Enginuity!$B$13, "")</f>
        <v>#VALUE!</v>
      </c>
      <c r="U795" s="103" t="e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>#VALUE!</v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14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24-Box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N/A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30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 t="e">
        <f>IF(AND(Enginuity!$B$6&gt;0, Enginuity!$B$7&gt;0, Enginuity!$B$13&gt;0), (2 * Enginuity!$B$7 * Enginuity!$B$13) + (2 * Enginuity!$B$6), "")</f>
        <v>#VALUE!</v>
      </c>
      <c r="U807" s="103" t="e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>#VALUE!</v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 t="e">
        <f>IF(AND(Enginuity!$B$6&gt;0, Enginuity!$B$7&gt;0, Enginuity!$B$13&gt;0), ((2*Enginuity!$B$7*Enginuity!$B$13)+(2*Enginuity!$B$6))*2, "")</f>
        <v>#VALUE!</v>
      </c>
      <c r="U808" s="103" t="e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>#VALUE!</v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09" s="103" t="e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>#VALUE!</v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 t="str">
        <f>IF(AND(ISNUMBER(Enginuity!$B$13), Enginuity!$B$13&gt;0), Enginuity!$B$13*4, "")</f>
        <v/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4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 t="e">
        <f>Enginuity!$B$13*4</f>
        <v>#VALUE!</v>
      </c>
      <c r="U816" s="103" t="e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>#VALUE!</v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56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 t="e">
        <f>Enginuity!$B$7*Enginuity!$B$13</f>
        <v>#VALUE!</v>
      </c>
      <c r="U836" s="103" t="e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>#VALUE!</v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 t="e">
        <f>(Enginuity!$B$6/Enginuity!$B$13 + Enginuity!$B$7)*2*Enginuity!$B$13</f>
        <v>#VALUE!</v>
      </c>
      <c r="U837" s="103" t="e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>#VALUE!</v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 t="e">
        <f>ROUNDUP(((Enginuity!$B$13-1)*Enginuity!$B$7)/32.8, 0)</f>
        <v>#VALUE!</v>
      </c>
      <c r="U838" s="103" t="e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>#VALUE!</v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N/A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2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30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 t="e">
        <f>$Q$3</f>
        <v>#VALUE!</v>
      </c>
      <c r="U885" s="103" t="e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>#VALUE!</v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 t="e">
        <f>IF(AND(Enginuity!$B$7&gt;0, Enginuity!$B$13&gt;1), (Enginuity!$B$13 - 1) * Enginuity!$B$7, "")</f>
        <v>#VALUE!</v>
      </c>
      <c r="U886" s="103" t="e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>#VALUE!</v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8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168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 t="e">
        <f>ROUNDUP((Enginuity!$B$6*2 + Enginuity!$B$13*2*Enginuity!$B$7)/3, 0)</f>
        <v>#VALUE!</v>
      </c>
      <c r="U892" s="103" t="e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>#VALUE!</v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 t="e">
        <f>Enginuity!$B$6*2 + Enginuity!$B$13*2*Enginuity!$B$7</f>
        <v>#VALUE!</v>
      </c>
      <c r="U893" s="103" t="e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>#VALUE!</v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7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168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 t="e">
        <f>ROUNDUP((Enginuity!$B$6*2 + Enginuity!$B$13*2*Enginuity!$B$7)/3, 0)</f>
        <v>#VALUE!</v>
      </c>
      <c r="U909" s="103" t="e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>#VALUE!</v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 t="e">
        <f>Enginuity!$B$13 *
 IF(Enginuity!$B$7&lt;8,3,
 IF(Enginuity!$B$7&lt;10,4,
 IF(Enginuity!$B$7&lt;12,5,
 6)))</f>
        <v>#VALUE!</v>
      </c>
      <c r="U911" s="103" t="e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>#VALUE!</v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56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28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16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8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8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14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168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168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0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 t="e">
        <f>ROUNDUP((Enginuity!$B$6*2 + Enginuity!$B$13*2*Enginuity!$B$7)/3, 0)</f>
        <v>#VALUE!</v>
      </c>
      <c r="U942" s="103" t="e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>#VALUE!</v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0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56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28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56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N/A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 t="str">
        <f>IF(Enginuity!$A$17="", "", Enginuity!$B$13)</f>
        <v/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1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 t="str">
        <f>IF(Enginuity!$A$17="", "", Enginuity!$B$13)</f>
        <v/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N/A</v>
      </c>
      <c r="Q990" s="82">
        <f>IFERROR(
  IF(OR(Enginuity!$B$6="",Enginuity!$B$7=""),"",
     VALUE(Enginuity!$B$6)*VALUE(Enginuity!$B$7) - N(Q998)
  ),
"")</f>
        <v>56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 t="str">
        <f>IFERROR(
  IF(OR(Enginuity!$B$7="",Enginuity!$B$13="",Enginuity!$B$13=0),"",
     N(Enginuity!$B$13) * IF(N(Enginuity!$B$7)&gt;8, 2, 1)
  ),
"")</f>
        <v/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 t="str">
        <f>Enginuity!$B$13</f>
        <v/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1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 t="e">
        <f>SUMPRODUCT(O998:O1001, Q998:Q1001)</f>
        <v>#VALUE!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N/A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 t="e">
        <f>ROUNDUP((Enginuity!$B$6*2 + Enginuity!$B$13*2*Enginuity!$B$7)/3, 0)</f>
        <v>#VALUE!</v>
      </c>
      <c r="U999" s="103" t="e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>#VALUE!</v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 t="e">
        <f>IF(Enginuity!$B$15&gt;1200, 3*Enginuity!$B$13, 2*Enginuity!$B$13)</f>
        <v>#VALUE!</v>
      </c>
      <c r="U1001" s="103" t="e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>#VALUE!</v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N/A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 t="e">
        <f>ROUNDUP((Enginuity!$B$6*2 + Enginuity!$B$13*2*Enginuity!$B$7)/3, 0)</f>
        <v>#VALUE!</v>
      </c>
      <c r="U1005" s="103" t="e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>#VALUE!</v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 t="e">
        <f>IF(Enginuity!$B$15&gt;1200, 3*Enginuity!$B$13, 2*Enginuity!$B$13)</f>
        <v>#VALUE!</v>
      </c>
      <c r="U1007" s="103" t="e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>#VALUE!</v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N/A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 t="e">
        <f>ROUNDUP((Enginuity!$B$6*2 + Enginuity!$B$13*2*Enginuity!$B$7)/3, 0)</f>
        <v>#VALUE!</v>
      </c>
      <c r="U1017" s="103" t="e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>#VALUE!</v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1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1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 t="e">
        <f>IF(Enginuity!$B$15&gt;1200, 3*Enginuity!$B$13, 2*Enginuity!$B$13)</f>
        <v>#VALUE!</v>
      </c>
      <c r="U1021" s="103" t="e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>#VALUE!</v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8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 t="e">
        <f>IF(AND(Enginuity!$B$7&gt;0, Enginuity!$B$13&gt;1), (Enginuity!$B$13 - 1) * Enginuity!$B$7, "")</f>
        <v>#VALUE!</v>
      </c>
      <c r="U1029" s="103" t="e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>#VALUE!</v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4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8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N/A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8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 t="e">
        <f>IF(AND(Enginuity!$B$7&gt;0, Enginuity!$B$13&gt;1), (Enginuity!$B$13 - 1) * Enginuity!$B$7, "")</f>
        <v>#VALUE!</v>
      </c>
      <c r="U1049" s="103" t="e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>#VALUE!</v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4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8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N/A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39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24-Box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39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24-Box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39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24-Box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30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 t="e">
        <f>$Q$3</f>
        <v>#VALUE!</v>
      </c>
      <c r="U1123" s="103" t="e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>#VALUE!</v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 t="e">
        <f>$Q$6</f>
        <v>#VALUE!</v>
      </c>
      <c r="U1125" s="103" t="e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>#VALUE!</v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30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 t="e">
        <f>$Q$3</f>
        <v>#VALUE!</v>
      </c>
      <c r="U1131" s="103" t="e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>#VALUE!</v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 t="e">
        <f>$Q$6</f>
        <v>#VALUE!</v>
      </c>
      <c r="U1133" s="103" t="e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>#VALUE!</v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N/A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 t="e">
        <f>IF(AND(Enginuity!$B$6&gt;0, Enginuity!$B$7&gt;0, Enginuity!$B$13&gt;0), (2 * Enginuity!$B$7 * Enginuity!$B$13) + (2 * Enginuity!$B$6), "")</f>
        <v>#VALUE!</v>
      </c>
      <c r="U1152" s="103" t="e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>#VALUE!</v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153" s="103" t="e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>#VALUE!</v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 t="e">
        <f>IF(AND(Enginuity!$B$7&gt;0, Enginuity!$B$13&gt;1), (Enginuity!$B$13 - 1) * 2, "")</f>
        <v>#VALUE!</v>
      </c>
      <c r="U1154" s="103" t="e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>#VALUE!</v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39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24-Box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39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24-Box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37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24-Box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e">
        <f>IF(ROUND(Enginuity!$B$13,0)=2,2,"")</f>
        <v>#VALUE!</v>
      </c>
      <c r="U1219" s="103" t="e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>#VALUE!</v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e">
        <f>IF(ROUND(Enginuity!$B$13,0)=2,2,"")</f>
        <v>#VALUE!</v>
      </c>
      <c r="U1220" s="103" t="e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>#VALUE!</v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208.3725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66.149999999999991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24-Box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 t="str">
        <f>IF(OR(Enginuity!$B$6="",Enginuity!$B$7="",Enginuity!$B$13=""),"",
 ROUNDUP(
  MAX(0,
    Enginuity!$B$6*MIN(Enginuity!$B$7,8)
    - MIN(Enginuity!$B$6, 3*Enginuity!$B$13) * MIN(7,Enginuity!$B$7)
  ),0)
)</f>
        <v/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24-Box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e">
        <f>IF(ROUND(Enginuity!$B$13,0)=2,2,"")</f>
        <v>#VALUE!</v>
      </c>
      <c r="U1244" s="103" t="e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>#VALUE!</v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e">
        <f>IF(ROUND(Enginuity!$B$13,0)=2,2,"")</f>
        <v>#VALUE!</v>
      </c>
      <c r="U1245" s="103" t="e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>#VALUE!</v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30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30</v>
      </c>
      <c r="M1425" s="88"/>
      <c r="N1425" s="12" t="s">
        <v>817</v>
      </c>
      <c r="O1425" s="22"/>
      <c r="P1425" s="5" t="str">
        <f>Enginuity!$A$18</f>
        <v>Casement Window Multi-Point Conceal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30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30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30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30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30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30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30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30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30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30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N/A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56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 t="str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/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24-Box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39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24-Box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 t="str">
        <f>IF(OR(Enginuity!$B$6="",Enginuity!$B$7="",Enginuity!$B$13=""),"",
   CEILING(
      (((Enginuity!$B$7*2)+(Enginuity!$B$6*2)) * Enginuity!$B$13) / 20.013,
      1
   )
)</f>
        <v/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 t="str">
        <f>IF(OR(Enginuity!$B$6="",Enginuity!$B$7="",Enginuity!$B$13=""),"",
   CEILING(
      (((Enginuity!$B$7*2)+(Enginuity!$B$6*2)) * Enginuity!$B$13) / 20.013,
      1
   )
)</f>
        <v/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N/A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56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 t="e">
        <f>IF(AND(Enginuity!$B$6&gt;0, Enginuity!$B$7&gt;0, Enginuity!$B$13&gt;0), ((2*Enginuity!$B$7*Enginuity!$B$13)+(2*Enginuity!$B$6))*2, "")</f>
        <v>#VALUE!</v>
      </c>
      <c r="U1613" s="103" t="e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>#VALUE!</v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N/A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30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 t="e">
        <f>IF(AND(Enginuity!$B$6&gt;0, Enginuity!$B$7&gt;0, Enginuity!$B$13&gt;0), (2 * Enginuity!$B$7 * Enginuity!$B$13) + (2 * Enginuity!$B$6), "")</f>
        <v>#VALUE!</v>
      </c>
      <c r="U1620" s="103" t="e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>#VALUE!</v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 t="e">
        <f>IF(AND(Enginuity!$B$6&gt;0, Enginuity!$B$7&gt;0, Enginuity!$B$13&gt;0), ((2*Enginuity!$B$7*Enginuity!$B$13)+(2*Enginuity!$B$6))*2, "")</f>
        <v>#VALUE!</v>
      </c>
      <c r="U1621" s="103" t="e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>#VALUE!</v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22" s="103" t="e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>#VALUE!</v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 t="e">
        <f>Enginuity!$B$13*IF(TRIM(Enginuity!$A$21)="1'H X ?'W X Qty Panel Top Hung (Casement Profile)",2,1)</f>
        <v>#VALUE!</v>
      </c>
      <c r="U1623" s="103" t="e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>#VALUE!</v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 t="e">
        <f>Enginuity!$B$13*IF(TRIM(Enginuity!$A$21)="1'H X ?'W X Qty Panel Top Hung (Casement Profile)",2,1)</f>
        <v>#VALUE!</v>
      </c>
      <c r="U1624" s="103" t="e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>#VALUE!</v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 t="str">
        <f>IF(AND(ISNUMBER(Enginuity!$B$13), Enginuity!$B$13&gt;0), Enginuity!$B$13*4, "")</f>
        <v/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 t="str">
        <f>IF(AND(ISNUMBER(Enginuity!$B$13), Enginuity!$B$13&gt;0), Enginuity!$B$13*4, "")</f>
        <v/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 t="e">
        <f>Enginuity!$B$13*4</f>
        <v>#VALUE!</v>
      </c>
      <c r="U1628" s="103" t="e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>#VALUE!</v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 t="e">
        <f>Enginuity!$B$13*
 IF(Enginuity!$B$7&lt;5,2,
 IF(Enginuity!$B$7&lt;6,3,
 IF(Enginuity!$B$7&lt;=7,4,5)))</f>
        <v>#VALUE!</v>
      </c>
      <c r="U1629" s="103" t="e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>#VALUE!</v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 t="e">
        <f>Enginuity!$B$13*
 IF(Enginuity!$B$7&lt;5,2,
 IF(Enginuity!$B$7&lt;6,3,
 IF(Enginuity!$B$7&lt;=7,4,5)))</f>
        <v>#VALUE!</v>
      </c>
      <c r="U1630" s="103" t="e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>#VALUE!</v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 t="e">
        <f>Enginuity!$B$13*2</f>
        <v>#VALUE!</v>
      </c>
      <c r="U1631" s="103" t="e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>#VALUE!</v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 t="e">
        <f>Enginuity!$B$13*2</f>
        <v>#VALUE!</v>
      </c>
      <c r="U1632" s="103" t="e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>#VALUE!</v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 t="e">
        <f>Enginuity!$B$13*1</f>
        <v>#VALUE!</v>
      </c>
      <c r="U1633" s="103" t="e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>#VALUE!</v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8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8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14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 t="e">
        <f>$Q$3</f>
        <v>#VALUE!</v>
      </c>
      <c r="U1638" s="103" t="e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>#VALUE!</v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14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 t="e">
        <f>Enginuity!$B$7*Enginuity!$B$13</f>
        <v>#VALUE!</v>
      </c>
      <c r="U1640" s="103" t="e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>#VALUE!</v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24-Box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N/A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30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 t="e">
        <f>IF(AND(Enginuity!$B$6&gt;0, Enginuity!$B$7&gt;0, Enginuity!$B$13&gt;0), (2 * Enginuity!$B$7 * Enginuity!$B$13) + (2 * Enginuity!$B$6), "")</f>
        <v>#VALUE!</v>
      </c>
      <c r="U1666" s="103" t="e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>#VALUE!</v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 t="e">
        <f>IF(AND(Enginuity!$B$6&gt;0, Enginuity!$B$7&gt;0, Enginuity!$B$13&gt;0), ((2*Enginuity!$B$7*Enginuity!$B$13)+(2*Enginuity!$B$6))*2, "")</f>
        <v>#VALUE!</v>
      </c>
      <c r="U1667" s="103" t="e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>#VALUE!</v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68" s="103" t="e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>#VALUE!</v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 t="e">
        <f>IF(MOD(Enginuity!$B$13,2)=1,1,0)</f>
        <v>#VALUE!</v>
      </c>
      <c r="U1669" s="103" t="e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>#VALUE!</v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 t="e">
        <f>FLOOR(Enginuity!$B$13/2,1)</f>
        <v>#VALUE!</v>
      </c>
      <c r="U1670" s="103" t="e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>#VALUE!</v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 t="str">
        <f>IF(AND(ISNUMBER(Enginuity!$B$13), Enginuity!$B$13&gt;0), Enginuity!$B$13*4, "")</f>
        <v/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 t="e">
        <f>FLOOR(Enginuity!$B$13/2,1)</f>
        <v>#VALUE!</v>
      </c>
      <c r="U1672" s="103" t="e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>#VALUE!</v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 t="e">
        <f>(Enginuity!$B$13*
  IF(Enginuity!$B$7&lt;=7,3,
  IF(Enginuity!$B$7&lt;=9,4,
  IF(Enginuity!$B$7&lt;=11,5,6))))
  - (2*FLOOR((Enginuity!$B$13-1)/2,1))</f>
        <v>#VALUE!</v>
      </c>
      <c r="U1673" s="103" t="e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>#VALUE!</v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 t="e">
        <f>FLOOR(Enginuity!$B$13/2,1)</f>
        <v>#VALUE!</v>
      </c>
      <c r="U1674" s="103" t="e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>#VALUE!</v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 t="e">
        <f>(FLOOR(Enginuity!$B$13/2,1)*2)+IF(MOD(Enginuity!$B$13,2)=1,2,0)</f>
        <v>#VALUE!</v>
      </c>
      <c r="U1675" s="103" t="e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>#VALUE!</v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 t="e">
        <f>IF(AND(Enginuity!$B$6&gt;0,Enginuity!$B$7&gt;0,Enginuity!$B$13&gt;0),
   ROUND(2*(Enginuity!$B$6+Enginuity!$B$7)*Enginuity!$B$13,2),
"")</f>
        <v>#VALUE!</v>
      </c>
      <c r="U1685" s="103" t="e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>#VALUE!</v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7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 t="e">
        <f>Enginuity!$B$7*Enginuity!$B$13</f>
        <v>#VALUE!</v>
      </c>
      <c r="U1687" s="103" t="e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>#VALUE!</v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24-Box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 t="str">
        <f>IF(OR(Enginuity!$B$6="",Enginuity!$B$7="",Enginuity!$B$13=""),"",
  2*(Enginuity!$B$6+Enginuity!$B$7)*Enginuity!$B$13*2
)</f>
        <v/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704" s="103" t="e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>#VALUE!</v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 t="e">
        <f>IF(MOD(Enginuity!$B$13,2)=1,1,0)</f>
        <v>#VALUE!</v>
      </c>
      <c r="U1705" s="103" t="e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>#VALUE!</v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 t="str">
        <f>IF(AND(ISNUMBER(Enginuity!$B$13), Enginuity!$B$13&gt;0), Enginuity!$B$13*4, "")</f>
        <v/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 t="str">
        <f>IF(OR(Enginuity!$B$7="",Enginuity!$B$13=""),"",
Enginuity!$B$13*
IF(Enginuity!$B$7&lt;=7,4,
IF(Enginuity!$B$7&lt;=9,5,
IF(Enginuity!$B$7&lt;=11,6,7))))</f>
        <v/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 t="str">
        <f>IF(OR(Enginuity!$B$13="",Enginuity!$B$13&lt;2),"",Enginuity!$B$13-1)</f>
        <v/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 t="e">
        <f>(FLOOR(Enginuity!$B$13/2,1)*2)+IF(MOD(Enginuity!$B$13,2)=1,2,0)</f>
        <v>#VALUE!</v>
      </c>
      <c r="U1709" s="103" t="e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>#VALUE!</v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 t="str">
        <f>IF(OR(Enginuity!$B$13="",Enginuity!$B$13=0),"",Enginuity!$B$13*2)</f>
        <v/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1176.76</v>
      </c>
      <c r="P1711" s="14" t="str">
        <f>IF(Enginuity!$A$19="","", "Dual Security Door Insert c/w SS Mesh + " &amp; Enginuity!$A$19)</f>
        <v>Dual Security Door Insert c/w SS Mesh + N/A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30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 t="e">
        <f>IF(AND(Enginuity!$B$6&gt;0,Enginuity!$B$7&gt;0,Enginuity!$B$13&gt;0),
   ROUND(2*(Enginuity!$B$6+Enginuity!$B$7)*Enginuity!$B$13,2),
"")</f>
        <v>#VALUE!</v>
      </c>
      <c r="U1734" s="103" t="e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>#VALUE!</v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 t="e">
        <f>IF(AND(Enginuity!$B$6&gt;0,Enginuity!$B$7&gt;0,Enginuity!$B$13&gt;0),
   ROUND(2*(Enginuity!$B$6+Enginuity!$B$7)*Enginuity!$B$13,2),
"")</f>
        <v>#VALUE!</v>
      </c>
      <c r="U1735" s="103" t="e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>#VALUE!</v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 t="str">
        <f>IF(OR(Enginuity!$B$7="",Enginuity!$B$13=""),"",Enginuity!$B$7*Enginuity!$B$13*2)</f>
        <v/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 t="str">
        <f>IF(Enginuity!$B$13="","",Enginuity!$B$13)</f>
        <v/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 t="str">
        <f>IF(Enginuity!$B$13="","",Enginuity!$B$13)</f>
        <v/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 t="str">
        <f>IF(Enginuity!$B$13="","",Enginuity!$B$13)</f>
        <v/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 t="str">
        <f>IF(OR(Enginuity!$B$13="",Enginuity!$B$13=0),"",Enginuity!$B$13*2)</f>
        <v/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 t="str">
        <f>IF(Enginuity!$B$13="","",Enginuity!$B$13)</f>
        <v/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 t="str">
        <f>IF(OR(Enginuity!$B$13="",Enginuity!$B$13=0),"",Enginuity!$B$13*8)</f>
        <v/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 t="str">
        <f>IF(OR(Enginuity!$B$13="",Enginuity!$B$13=0),"",Enginuity!$B$13*8)</f>
        <v/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 t="str">
        <f>IF(OR(Enginuity!$B$13="",Enginuity!$B$13=0),"",Enginuity!$B$13*2)</f>
        <v/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 t="str">
        <f>IF(Enginuity!$B$13="","",Enginuity!$B$13*20)</f>
        <v/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 t="str">
        <f>IF(Enginuity!$B$13="","",Enginuity!$B$13*20)</f>
        <v/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 t="str">
        <f>IF(OR(Enginuity!$B$6="",Enginuity!$B$7="",Enginuity!$B$13=""),"",
  2*(Enginuity!$B$6+Enginuity!$B$7)*Enginuity!$B$13*2
)</f>
        <v/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 t="str">
        <f>IF(OR(Enginuity!$B$6="",Enginuity!$B$7="",Enginuity!$B$13=""),"",
  2*(Enginuity!$B$6+Enginuity!$B$7)*Enginuity!$B$13*2
)</f>
        <v/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N/A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 t="e">
        <f>IF(COUNTA(Q1733:Q1750,O1733:O1750)=0,"",SUMPRODUCT(Q1733:Q1750,O1733:O1750))</f>
        <v>#VALUE!</v>
      </c>
      <c r="Q1752" s="82"/>
      <c r="U1752" s="103" t="e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>#VALUE!</v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23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23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23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321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22 Blade 4" Adjustable Altair Louver</v>
      </c>
      <c r="Q1785" s="82">
        <f>IFERROR(MAX(1, ROUNDUP(VALUE(Enginuity!$B$13), 0)), 1)</f>
        <v>1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2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15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15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15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Delivery Casement Window Multi-Point Conceal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Delivery Casement Window Multi-Point Conceal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Delivery Casement Window Multi-Point Conceal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Delivery Casement Window Multi-Point Conceal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N/A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 t="str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/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 t="str">
        <f>IF(OR(Enginuity!$B$6="",Enginuity!$B$15=""),
   "",
   CEILING(
      (
         Enginuity!$B$6*304.8 +
         (MAX(0,ROUNDUP(Enginuity!$B$6*304.8/Enginuity!$B$15,0)-1))*1000
      )*24/24716,
   1)
)</f>
        <v/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N/A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 t="str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/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1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2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2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1386.9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8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8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14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16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16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14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8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8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 t="e">
        <f>IF(AND(Enginuity!$B$7&gt;0, Enginuity!$B$13&gt;0), Enginuity!$B$7 * Enginuity!$B$13, "")</f>
        <v>#VALUE!</v>
      </c>
      <c r="U2202" s="103" t="e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>#VALUE!</v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 t="e">
        <f>IF(AND(Enginuity!$B$7&gt;0, Enginuity!$B$13&gt;0), Enginuity!$B$7 * Enginuity!$B$13, "")</f>
        <v>#VALUE!</v>
      </c>
      <c r="U2203" s="103" t="e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>#VALUE!</v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7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24-Box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8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8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14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16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16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14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8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8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 t="e">
        <f>IF(AND(Enginuity!$B$7&gt;0, Enginuity!$B$13&gt;0), Enginuity!$B$7 * Enginuity!$B$13, "")</f>
        <v>#VALUE!</v>
      </c>
      <c r="U2220" s="103" t="e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>#VALUE!</v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 t="e">
        <f>IF(AND(Enginuity!$B$7&gt;0, Enginuity!$B$13&gt;0), Enginuity!$B$7 * Enginuity!$B$13, "")</f>
        <v>#VALUE!</v>
      </c>
      <c r="U2221" s="103" t="e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>#VALUE!</v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7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24-Box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N/A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56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30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 t="e">
        <f>IF(AND(Enginuity!$B$6&gt;0, Enginuity!$B$7&gt;0, Enginuity!$B$13&gt;0), (2 * Enginuity!$B$7 * Enginuity!$B$13) + (2 * Enginuity!$B$6), "")</f>
        <v>#VALUE!</v>
      </c>
      <c r="U2235" s="103" t="e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>#VALUE!</v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 t="e">
        <f>IF(AND(Enginuity!$B$6&gt;0, Enginuity!$B$7&gt;0, Enginuity!$B$13&gt;0), ((2*Enginuity!$B$7*Enginuity!$B$13)+(2*Enginuity!$B$6))*2, "")</f>
        <v>#VALUE!</v>
      </c>
      <c r="U2236" s="103" t="e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>#VALUE!</v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37" s="103" t="e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>#VALUE!</v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 t="str">
        <f>Enginuity!$B$13</f>
        <v/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 t="e">
        <f>Enginuity!$B$13*4</f>
        <v>#VALUE!</v>
      </c>
      <c r="U2241" s="103" t="e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>#VALUE!</v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 t="e">
        <f>Enginuity!$B$13*2</f>
        <v>#VALUE!</v>
      </c>
      <c r="U2242" s="103" t="e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>#VALUE!</v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30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 t="e">
        <f>$Q$3</f>
        <v>#VALUE!</v>
      </c>
      <c r="U2244" s="103" t="e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#VALUE!</v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 t="e">
        <f>$Q$6</f>
        <v>#VALUE!</v>
      </c>
      <c r="U2246" s="103" t="e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#VALUE!</v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30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 t="e">
        <f>$Q$3</f>
        <v>#VALUE!</v>
      </c>
      <c r="U2252" s="103" t="e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>#VALUE!</v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 t="e">
        <f>$Q$6</f>
        <v>#VALUE!</v>
      </c>
      <c r="U2254" s="103" t="e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>#VALUE!</v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N/A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 t="e">
        <f>IF(AND(Enginuity!$B$6&gt;0, Enginuity!$B$7&gt;0, Enginuity!$B$13&gt;0), (2 * Enginuity!$B$7 * Enginuity!$B$13) + (2 * Enginuity!$B$6), "")</f>
        <v>#VALUE!</v>
      </c>
      <c r="U2273" s="103" t="e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#VALUE!</v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74" s="103" t="e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#VALUE!</v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 t="e">
        <f>IF(AND(Enginuity!$B$7&gt;0, Enginuity!$B$13&gt;1), (Enginuity!$B$13 - 1) * 2, "")</f>
        <v>#VALUE!</v>
      </c>
      <c r="U2275" s="103" t="e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#VALUE!</v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Casement Window Multi-Point Conceal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N/A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24-Box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24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Casement Window Multi-Point Conceal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N/A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24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1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2" t="s">
        <v>1472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Q1" s="432" t="s">
        <v>1472</v>
      </c>
      <c r="R1" s="431"/>
      <c r="S1" s="431"/>
      <c r="T1" s="431"/>
      <c r="U1" s="431"/>
      <c r="V1" s="431"/>
      <c r="W1" s="431"/>
      <c r="X1" s="431"/>
      <c r="Y1" s="431"/>
      <c r="Z1" s="431"/>
      <c r="AA1" s="431"/>
    </row>
    <row r="2" spans="1:27" ht="15" customHeight="1" x14ac:dyDescent="0.25">
      <c r="A2" s="430" t="s">
        <v>1473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Q2" s="430" t="s">
        <v>1473</v>
      </c>
      <c r="R2" s="431"/>
      <c r="S2" s="431"/>
      <c r="T2" s="431"/>
      <c r="U2" s="431"/>
      <c r="V2" s="431"/>
      <c r="W2" s="431"/>
      <c r="X2" s="431"/>
      <c r="Y2" s="431"/>
      <c r="Z2" s="431"/>
      <c r="AA2" s="431"/>
    </row>
    <row r="3" spans="1:27" ht="15" customHeight="1" x14ac:dyDescent="0.25">
      <c r="A3" s="257" t="s">
        <v>1474</v>
      </c>
      <c r="B3" s="258">
        <v>21.4</v>
      </c>
      <c r="C3"/>
      <c r="F3" s="433" t="s">
        <v>1511</v>
      </c>
      <c r="G3" s="434"/>
      <c r="H3" s="434"/>
      <c r="I3" s="435"/>
      <c r="Q3" s="257" t="s">
        <v>1474</v>
      </c>
      <c r="R3" s="258">
        <v>25</v>
      </c>
      <c r="S3" s="268"/>
      <c r="V3" s="436" t="s">
        <v>1475</v>
      </c>
      <c r="W3" s="437"/>
      <c r="X3" s="437"/>
      <c r="Y3" s="438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3" t="s">
        <v>1510</v>
      </c>
      <c r="G7" s="434"/>
      <c r="H7" s="434"/>
      <c r="I7" s="435"/>
      <c r="Q7" s="257" t="s">
        <v>1483</v>
      </c>
      <c r="R7" s="262" t="s">
        <v>1479</v>
      </c>
      <c r="S7" s="268"/>
      <c r="V7" s="436" t="s">
        <v>1484</v>
      </c>
      <c r="W7" s="437"/>
      <c r="X7" s="437"/>
      <c r="Y7" s="438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0" t="s">
        <v>1486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  <c r="L11">
        <v>6060</v>
      </c>
      <c r="M11">
        <f>L11/304.8</f>
        <v>19.881889763779526</v>
      </c>
      <c r="Q11" s="430" t="s">
        <v>1486</v>
      </c>
      <c r="R11" s="431"/>
      <c r="S11" s="431"/>
      <c r="T11" s="431"/>
      <c r="U11" s="431"/>
      <c r="V11" s="431"/>
      <c r="W11" s="431"/>
      <c r="X11" s="431"/>
      <c r="Y11" s="431"/>
      <c r="Z11" s="431"/>
      <c r="AA11" s="431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9" t="s">
        <v>1519</v>
      </c>
      <c r="W1" s="439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 t="e">
        <f>$C$38</f>
        <v>#VALUE!</v>
      </c>
      <c r="J3" s="327" t="e">
        <f>$C$39</f>
        <v>#VALUE!</v>
      </c>
      <c r="K3" s="327" t="e">
        <f>$C$40</f>
        <v>#VALUE!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 t="e">
        <f>I3</f>
        <v>#VALUE!</v>
      </c>
      <c r="R3" s="328" t="e">
        <f t="shared" ref="R3:S5" si="1">J3</f>
        <v>#VALUE!</v>
      </c>
      <c r="S3" s="328" t="e">
        <f t="shared" si="1"/>
        <v>#VALUE!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2438.4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 t="e">
        <f t="shared" ref="I4:I12" si="2">$C$38</f>
        <v>#VALUE!</v>
      </c>
      <c r="J4" s="358" t="e">
        <f>$C$39</f>
        <v>#VALUE!</v>
      </c>
      <c r="K4" s="327" t="e">
        <f t="shared" ref="K4:K12" si="3">$C$40</f>
        <v>#VALUE!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 t="e">
        <f t="shared" ref="Q4:Q5" si="5">I4</f>
        <v>#VALUE!</v>
      </c>
      <c r="R4" s="328" t="e">
        <f t="shared" si="1"/>
        <v>#VALUE!</v>
      </c>
      <c r="S4" s="328" t="e">
        <f t="shared" si="1"/>
        <v>#VALUE!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2133.6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 t="e">
        <f t="shared" si="2"/>
        <v>#VALUE!</v>
      </c>
      <c r="J5" s="327" t="e">
        <f t="shared" ref="J5:J12" si="7">$C$39</f>
        <v>#VALUE!</v>
      </c>
      <c r="K5" s="327" t="e">
        <f t="shared" si="3"/>
        <v>#VALUE!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 t="e">
        <f t="shared" si="5"/>
        <v>#VALUE!</v>
      </c>
      <c r="R5" s="328" t="e">
        <f t="shared" si="1"/>
        <v>#VALUE!</v>
      </c>
      <c r="S5" s="328" t="e">
        <f t="shared" si="1"/>
        <v>#VALUE!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 t="str">
        <f>Enginuity!B13</f>
        <v/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 t="e">
        <f t="shared" si="2"/>
        <v>#VALUE!</v>
      </c>
      <c r="J6" s="327" t="e">
        <f t="shared" si="7"/>
        <v>#VALUE!</v>
      </c>
      <c r="K6" s="327" t="e">
        <f t="shared" si="3"/>
        <v>#VALUE!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 t="e">
        <f t="shared" si="2"/>
        <v>#VALUE!</v>
      </c>
      <c r="J7" s="327" t="e">
        <f t="shared" si="7"/>
        <v>#VALUE!</v>
      </c>
      <c r="K7" s="327" t="e">
        <f t="shared" si="3"/>
        <v>#VALUE!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 t="e">
        <f t="shared" si="2"/>
        <v>#VALUE!</v>
      </c>
      <c r="J8" s="327" t="e">
        <f t="shared" si="7"/>
        <v>#VALUE!</v>
      </c>
      <c r="K8" s="327" t="e">
        <f t="shared" si="3"/>
        <v>#VALUE!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 t="e">
        <f t="shared" si="2"/>
        <v>#VALUE!</v>
      </c>
      <c r="J9" s="327" t="e">
        <f t="shared" si="7"/>
        <v>#VALUE!</v>
      </c>
      <c r="K9" s="327" t="e">
        <f t="shared" si="3"/>
        <v>#VALUE!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 t="e">
        <f t="shared" si="2"/>
        <v>#VALUE!</v>
      </c>
      <c r="J10" s="327" t="e">
        <f t="shared" si="7"/>
        <v>#VALUE!</v>
      </c>
      <c r="K10" s="327" t="e">
        <f t="shared" si="3"/>
        <v>#VALUE!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 t="e">
        <f>C25</f>
        <v>#VALUE!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 t="e">
        <f t="shared" si="2"/>
        <v>#VALUE!</v>
      </c>
      <c r="J11" s="327" t="e">
        <f t="shared" si="7"/>
        <v>#VALUE!</v>
      </c>
      <c r="K11" s="327" t="e">
        <f t="shared" si="3"/>
        <v>#VALUE!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 t="e">
        <f t="shared" si="2"/>
        <v>#VALUE!</v>
      </c>
      <c r="J12" s="327" t="e">
        <f t="shared" si="7"/>
        <v>#VALUE!</v>
      </c>
      <c r="K12" s="327" t="e">
        <f t="shared" si="3"/>
        <v>#VALUE!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 t="e">
        <f>SUM(I3:I11)</f>
        <v>#VALUE!</v>
      </c>
      <c r="J15" s="93" t="e">
        <f>SUM(J3:J11)</f>
        <v>#VALUE!</v>
      </c>
      <c r="K15" s="93" t="e">
        <f>SUM(K3:K11)</f>
        <v>#VALUE!</v>
      </c>
      <c r="L15" s="281"/>
      <c r="O15" s="1"/>
      <c r="P15" s="1"/>
      <c r="Q15" s="93" t="e">
        <f>SUM(Q3:Q12)</f>
        <v>#VALUE!</v>
      </c>
      <c r="R15" s="93" t="e">
        <f>SUM(R3:R11)</f>
        <v>#VALUE!</v>
      </c>
      <c r="S15" s="93" t="e">
        <f>SUM(S3:S11)</f>
        <v>#VALUE!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 t="e">
        <f>IF(W15=0,0,W10/W15)</f>
        <v>#VALUE!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 t="e">
        <f>IF(W4=0,0,W16/W4)</f>
        <v>#VALUE!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 t="e">
        <f>W17*1.15</f>
        <v>#VALUE!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21</v>
      </c>
      <c r="C25" s="361" t="e">
        <f>B25*$B$6</f>
        <v>#VALUE!</v>
      </c>
    </row>
    <row r="26" spans="1:40" x14ac:dyDescent="0.25">
      <c r="A26" s="337" t="s">
        <v>1719</v>
      </c>
      <c r="B26" s="356" t="str">
        <f>IF(OR($C$49="",$B$6=""),"",ROUND(($C$49/$B$6)-(2*$B$18),3))</f>
        <v/>
      </c>
      <c r="C26" s="361" t="str">
        <f>B26</f>
        <v/>
      </c>
    </row>
    <row r="27" spans="1:40" x14ac:dyDescent="0.25">
      <c r="A27" s="337" t="s">
        <v>1720</v>
      </c>
      <c r="B27" s="356">
        <f>$C$46</f>
        <v>98.060000000000016</v>
      </c>
      <c r="C27" s="361">
        <f>B27</f>
        <v>98.060000000000016</v>
      </c>
    </row>
    <row r="28" spans="1:40" x14ac:dyDescent="0.25">
      <c r="A28" s="337" t="s">
        <v>1721</v>
      </c>
      <c r="B28" s="362">
        <f>$C$47</f>
        <v>98.060000000000016</v>
      </c>
      <c r="C28" s="381">
        <f>B28</f>
        <v>98.060000000000016</v>
      </c>
    </row>
    <row r="29" spans="1:40" x14ac:dyDescent="0.25">
      <c r="A29" s="337" t="s">
        <v>1722</v>
      </c>
      <c r="B29" s="363">
        <f>ROUND($C$48,10)</f>
        <v>98.06</v>
      </c>
      <c r="C29" s="364">
        <f>B29</f>
        <v>98.06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 t="e">
        <f>IF(B30="","",B30*$B$6)</f>
        <v>#VALUE!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2082.8000000000002</v>
      </c>
      <c r="C31" s="365">
        <f>B31</f>
        <v>2082.8000000000002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2133.6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2387.6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 t="e">
        <f>$C$55</f>
        <v>#VALUE!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2082.8000000000002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 t="e">
        <f>IF(OR($B$3="",$B$6="",$C$57=""),"",ROUND($C$57/($B$3*$B$6),3))</f>
        <v>#VALUE!</v>
      </c>
      <c r="C38" s="361" t="e">
        <f>$C$57</f>
        <v>#VALUE!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 t="e">
        <f>IF(OR($B$3="",$B$6="",$C$58=""),"",ROUND($C$58/($B$3*$B$6),3))</f>
        <v>#VALUE!</v>
      </c>
      <c r="C39" s="361" t="e">
        <f>$C$58</f>
        <v>#VALUE!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 t="e">
        <f>IF(OR($B$3="",$B$6="",$C$61=""),"",ROUND($C$61/($B$3*$B$6),3))</f>
        <v>#VALUE!</v>
      </c>
      <c r="C40" s="361" t="e">
        <f>$C$61</f>
        <v>#VALUE!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98.060000000000016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98.060000000000016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98.06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2387.6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2082.8000000000002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2133.6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2387.6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 t="e">
        <f>MAX($B$6-1,0)</f>
        <v>#VALUE!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2082.8000000000002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 t="e">
        <f>IF(OR($C$25="",$B$26="",$B$17=""),"",ROUNDUP(($C$25*$B$3)/INT(($B$17+$B$20)/($B$26+$B$20)),0))</f>
        <v>#VALUE!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 t="e">
        <f>IF(OR($C$30="",$B$31="",$B$17=""),"",ROUNDUP(($C$30*$B$3)/INT(($B$17+$B$20)/($B$31+$B$20)),0))</f>
        <v>#VALUE!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2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 t="e">
        <f>IF($C$55=0,0,ROUNDUP(($C$55*$B$3)/INT(($B$17+$B$20)/($C$56+$B$20)),0))</f>
        <v>#VALUE!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 t="e">
        <f>IF($B$17="","",CEILING((((((($C$53*$C$51)+($C$54*$C$52)+($C$55*$C$56))*$B$3)+MAX((($C$53+$C$54+$C$55)*$B$3)-1,0)*$B$20)/$B$17)),1))</f>
        <v>#VALUE!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5" t="s">
        <v>1532</v>
      </c>
      <c r="B1" s="431"/>
      <c r="C1" s="431"/>
      <c r="D1" s="431"/>
      <c r="E1" s="431"/>
      <c r="F1" s="431"/>
      <c r="G1" s="431"/>
      <c r="H1" s="431"/>
      <c r="I1" s="431"/>
      <c r="K1" s="446" t="s">
        <v>1533</v>
      </c>
      <c r="L1" s="447"/>
      <c r="M1" s="447"/>
      <c r="N1" s="447"/>
      <c r="O1" s="447"/>
      <c r="P1" s="447"/>
      <c r="Q1" s="447"/>
      <c r="R1" s="447"/>
      <c r="S1" s="447"/>
      <c r="T1" s="447"/>
      <c r="U1" s="447"/>
      <c r="V1" s="447"/>
      <c r="W1" s="447"/>
      <c r="X1" s="447"/>
      <c r="Y1" s="447"/>
      <c r="Z1" s="447"/>
      <c r="AA1" s="447"/>
      <c r="AB1" s="447"/>
      <c r="AC1" s="447"/>
      <c r="AD1" s="447"/>
      <c r="AG1" s="285" t="s">
        <v>1537</v>
      </c>
      <c r="BC1" s="1"/>
    </row>
    <row r="2" spans="1:55" ht="15" customHeight="1" x14ac:dyDescent="0.25">
      <c r="A2" s="448" t="s">
        <v>1534</v>
      </c>
      <c r="B2" s="431"/>
      <c r="C2" s="431"/>
      <c r="D2" s="431"/>
      <c r="E2" s="431"/>
      <c r="F2" s="431"/>
      <c r="G2" s="431"/>
      <c r="H2" s="431"/>
      <c r="I2" s="431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40" t="s">
        <v>1535</v>
      </c>
      <c r="B4" s="440"/>
      <c r="C4" s="302"/>
      <c r="D4" s="180"/>
      <c r="E4" s="440" t="s">
        <v>1536</v>
      </c>
      <c r="F4" s="441"/>
      <c r="G4" s="441"/>
      <c r="H4" s="441"/>
      <c r="I4" s="441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40" t="s">
        <v>1577</v>
      </c>
      <c r="F9" s="441"/>
      <c r="G9" s="441"/>
      <c r="H9" s="441"/>
      <c r="I9" s="441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2" t="s">
        <v>1586</v>
      </c>
      <c r="B15" s="443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2" t="s">
        <v>1593</v>
      </c>
      <c r="B26" s="443"/>
      <c r="C26" s="444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9" t="s">
        <v>1632</v>
      </c>
      <c r="B1" s="431"/>
      <c r="C1" s="431"/>
      <c r="D1" s="431"/>
      <c r="E1" s="431"/>
      <c r="F1" s="431"/>
      <c r="G1" s="431"/>
      <c r="H1" s="431"/>
      <c r="I1" s="431"/>
    </row>
    <row r="2" spans="1:9" ht="15" customHeight="1" x14ac:dyDescent="0.25"/>
    <row r="3" spans="1:9" ht="15" customHeight="1" x14ac:dyDescent="0.25">
      <c r="A3" s="450" t="s">
        <v>1633</v>
      </c>
      <c r="B3" s="451"/>
      <c r="C3" s="451"/>
      <c r="E3" s="450" t="s">
        <v>1536</v>
      </c>
      <c r="F3" s="451"/>
      <c r="G3" s="451"/>
      <c r="H3" s="451"/>
      <c r="I3" s="451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50" t="s">
        <v>1577</v>
      </c>
      <c r="F9" s="451"/>
      <c r="G9" s="451"/>
      <c r="H9" s="451"/>
      <c r="I9" s="451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0" t="s">
        <v>1586</v>
      </c>
      <c r="B18" s="431"/>
      <c r="C18" s="431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0" t="s">
        <v>1593</v>
      </c>
      <c r="B31" s="431"/>
      <c r="C31" s="431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2026-04-22T19:20:35Z</dcterms:modified>
</cp:coreProperties>
</file>