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6883D9AC-BD0E-4F5D-B27A-F9076DBC1EE1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6" i="38" l="1"/>
  <c r="V65" i="38" a="1"/>
  <c r="V65" i="38" s="1"/>
  <c r="S65" i="38"/>
  <c r="V109" i="38" a="1"/>
  <c r="V109" i="38" s="1"/>
  <c r="S109" i="38"/>
  <c r="F101" i="38"/>
  <c r="F2" i="19" a="1"/>
  <c r="F2" i="19" s="1"/>
  <c r="F1" i="19" a="1"/>
  <c r="F1" i="19" s="1"/>
  <c r="B42" i="19" a="1"/>
  <c r="F91" i="38"/>
  <c r="F71" i="38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T65" i="38" l="1"/>
  <c r="R65" i="38"/>
  <c r="T109" i="38"/>
  <c r="R109" i="38"/>
  <c r="B42" i="19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B17" i="1" l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W457" i="38" s="1" a="1"/>
  <c r="W457" i="38" s="1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271" i="38" l="1" a="1"/>
  <c r="W271" i="38" s="1"/>
  <c r="W272" i="38" a="1"/>
  <c r="W272" i="38" s="1"/>
  <c r="W427" i="38" a="1"/>
  <c r="W427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K22" i="32" s="1"/>
  <c r="G15" i="32"/>
  <c r="K15" i="32" s="1"/>
  <c r="K21" i="32"/>
  <c r="K23" i="32"/>
  <c r="K13" i="32"/>
  <c r="L13" i="32" s="1"/>
  <c r="K19" i="32"/>
  <c r="J22" i="32"/>
  <c r="C56" i="35"/>
  <c r="B31" i="35"/>
  <c r="C31" i="35" s="1"/>
  <c r="C59" i="35"/>
  <c r="Q2294" i="10"/>
  <c r="F23" i="34"/>
  <c r="H13" i="34"/>
  <c r="B44" i="34"/>
  <c r="AM5" i="33"/>
  <c r="AM4" i="33"/>
  <c r="J16" i="32" l="1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K25" i="32" s="1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B35" i="34" l="1"/>
  <c r="B37" i="34" s="1"/>
  <c r="B38" i="34" s="1"/>
  <c r="B41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F15" i="34" l="1"/>
  <c r="F6" i="34"/>
  <c r="B47" i="34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93" i="38" l="1"/>
  <c r="V102" i="38"/>
  <c r="V99" i="38"/>
  <c r="V96" i="38"/>
  <c r="V458" i="38"/>
  <c r="P458" i="38" s="1" a="1"/>
  <c r="P458" i="38" s="1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P91" i="38" s="1" a="1"/>
  <c r="P91" i="38" s="1"/>
  <c r="B13" i="1"/>
  <c r="V427" i="38" s="1"/>
  <c r="P427" i="38" s="1" a="1"/>
  <c r="P427" i="38" s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120" i="38" l="1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09" i="38" s="1" a="1"/>
  <c r="W109" i="38" s="1"/>
  <c r="P109" i="38" s="1" a="1"/>
  <c r="P109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65" i="38" l="1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66" i="38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<sst xmlns="http://schemas.openxmlformats.org/spreadsheetml/2006/main" count="12251" uniqueCount="2152">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</sst>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8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10" fontId="0" fillId="0" borderId="0" xfId="0" applyNumberFormat="1" applyBorder="1" applyAlignment="1">
      <alignment vertical="center"/>
    </xf>
    <xf numFmtId="49" fontId="0" fillId="0" borderId="0" xfId="0" applyNumberFormat="1" applyBorder="1" applyAlignment="1">
      <alignment vertical="center"/>
    </xf>
    <xf numFmtId="49" fontId="0" fillId="2" borderId="0" xfId="0" applyNumberForma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22" sqref="A22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>10ftW X 7ftH  Aluminium &amp; Glass Standard  Panel Supply &amp; Delivery Casement Window Standard N/A Z-Louvre Blade - 2" 12-Box Lattice Top / Bottom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10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10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70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e">
        <f>CalcEngine!V2</f>
        <v>#VALUE!</v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3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1791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1969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2086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 t="s">
        <v>1865</v>
      </c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195.97200000000001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77" zoomScale="70" zoomScaleNormal="70" workbookViewId="0">
      <selection activeCell="T110" sqref="T110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1" width="9.140625" style="1"/>
    <col min="22" max="22" width="10" style="1" bestFit="1" customWidth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e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>#VALUE!</v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e">
        <f>IF(OR(TRIM($A3)&lt;&gt;TRIM(Enginuity!$A$1),TRIM($C3)&lt;&gt;TRIM(Enginuity!$A$18),TRIM($U3)="",$V3="",$V3=0,$W3="",$W3=0),"",ROW())</f>
        <v>#VALUE!</v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e">
        <f>V2</f>
        <v>#VALUE!</v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530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1.07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10.448571428571428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230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3.43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11.270000000000001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1.57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0.54649999999999999</v>
      </c>
      <c r="N61" s="414">
        <v>609.6</v>
      </c>
      <c r="O61" s="414"/>
      <c r="P61" s="408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>61</v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61" s="420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2.34</v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G62" s="369" t="s">
        <v>1865</v>
      </c>
      <c r="H62" s="369" t="s">
        <v>1865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3.58</v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G63" s="369" t="s">
        <v>1866</v>
      </c>
      <c r="H63" s="369" t="s">
        <v>1866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3.74</v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G64" s="369" t="s">
        <v>1867</v>
      </c>
      <c r="H64" s="369" t="s">
        <v>1867</v>
      </c>
      <c r="P64" s="1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>64</v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>10</v>
      </c>
      <c r="W64" s="399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3.74</v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452" t="s">
        <v>762</v>
      </c>
      <c r="R65" s="456" t="str">
        <f>S65</f>
        <v>12-Box Lattice</v>
      </c>
      <c r="S65" s="457" t="str">
        <f>Enginuity!$A$21</f>
        <v>12-Box Lattice</v>
      </c>
      <c r="T65" s="456" t="str">
        <f>S65</f>
        <v>12-Box Lattice</v>
      </c>
      <c r="U65" s="452" t="s">
        <v>176</v>
      </c>
      <c r="V65" s="452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9" t="str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>Top / Bottom Fix Window</v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F71" s="369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F72" s="369" t="s">
        <v>2085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F73" s="369" t="s">
        <v>2086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F74" s="369" t="s">
        <v>2087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>77</v>
      </c>
      <c r="Q77" s="1" t="s">
        <v>1832</v>
      </c>
      <c r="R77" s="16" t="str">
        <f>IF($T77="","","⬒ "&amp;$T77)</f>
        <v>⬒ Z-Louvre Blade - 2"</v>
      </c>
      <c r="T77" s="1" t="str">
        <f>IF(Enginuity!$A$20="","",Enginuity!$A$20)</f>
        <v>Z-Louvre Blade - 2"</v>
      </c>
      <c r="U77" s="1" t="s">
        <v>121</v>
      </c>
      <c r="V77" s="1">
        <f>IF(Enginuity!$B$9="","",Enginuity!$B$9)</f>
        <v>70</v>
      </c>
      <c r="W77" s="399">
        <f>IFERROR(INDEX(CostData!$Q$3:$Q$12,MATCH(TRIM(Enginuity!$A$20),CostData!$P$3:$P$12,0)),"")</f>
        <v>10.448571428571428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87" spans="1:23" x14ac:dyDescent="0.25">
      <c r="A87" s="274" t="s">
        <v>254</v>
      </c>
      <c r="C87" s="369" t="s">
        <v>3</v>
      </c>
      <c r="P87" s="1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>87</v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70</v>
      </c>
      <c r="W87" s="399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0" spans="1:23" x14ac:dyDescent="0.25">
      <c r="A90" s="274" t="s">
        <v>254</v>
      </c>
      <c r="B90" s="451"/>
      <c r="C90" s="451" t="s">
        <v>3</v>
      </c>
      <c r="D90" s="451"/>
      <c r="E90" s="451"/>
      <c r="F90" s="451"/>
      <c r="G90" s="451"/>
      <c r="H90" s="451"/>
      <c r="I90" s="451"/>
      <c r="J90" s="451"/>
      <c r="K90" s="451"/>
      <c r="L90" s="451"/>
      <c r="M90" s="451"/>
      <c r="N90" s="451"/>
      <c r="O90" s="451"/>
      <c r="P90" s="452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452" t="str">
        <f>IF($S90="","",IFERROR(_xlfn.XLOOKUP($S90,CostData!$U$22:$U$1000,CostData!$T$22:$T$1000,""),""))</f>
        <v>Gasket</v>
      </c>
      <c r="R90" s="453" t="s">
        <v>1931</v>
      </c>
      <c r="S90" s="454">
        <v>6154</v>
      </c>
      <c r="T90" s="452" t="str" cm="1">
        <f t="array" ref="T90">_xlfn.LET(_xlpm.cd,INDEX($S:$S,ROW()),IF(_xlpm.cd="","",IFERROR(_xlfn.XLOOKUP(_xlpm.cd,CostData!$U$22:$U$1000,CostData!$W$22:$W$1000,""),"")))</f>
        <v>6154 Gasket</v>
      </c>
      <c r="U90" s="452" t="str">
        <f>IF($S90="","",IFERROR(_xlfn.XLOOKUP($S90,CostData!$U$22:$U$1000,CostData!$AA$22:$AA$1000,""),""))</f>
        <v>Ft</v>
      </c>
      <c r="V90" s="452" t="e">
        <f>IF(SUM($V$63:$V$64)=0,"",SUM($V$63:$V$64)*2)</f>
        <v>#VALUE!</v>
      </c>
      <c r="W90" s="399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451" t="s">
        <v>1847</v>
      </c>
      <c r="C92" s="451" t="s">
        <v>1989</v>
      </c>
      <c r="D92" s="451" t="s">
        <v>1813</v>
      </c>
      <c r="E92" s="451" t="str">
        <v>Z-Louvre Blade - 2"</v>
      </c>
      <c r="F92" s="451" t="s">
        <v>1933</v>
      </c>
      <c r="G92" s="451"/>
      <c r="H92" s="451"/>
      <c r="I92" s="451"/>
      <c r="J92" s="451"/>
      <c r="K92" s="451"/>
      <c r="L92" s="451"/>
      <c r="M92" s="455">
        <v>0.01</v>
      </c>
      <c r="N92" s="451">
        <v>1500</v>
      </c>
      <c r="O92" s="451" t="s">
        <v>1956</v>
      </c>
      <c r="P92" s="452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452" t="str" cm="1">
        <f t="array" ref="Q92">_xlfn.LET(_xlpm.cd,INDEX($S:$S,ROW()),IF(_xlpm.cd="","",IFERROR(_xlfn.XLOOKUP(_xlpm.cd,CostData!$C$22:$C$1000,CostData!$B$22:$B$1000,""),"")))</f>
        <v>Aluminium</v>
      </c>
      <c r="R92" s="453" t="s">
        <v>1862</v>
      </c>
      <c r="S92" s="454" t="s">
        <v>1971</v>
      </c>
      <c r="T92" s="452" t="str" cm="1">
        <f t="array" ref="T92">_xlfn.LET(_xlpm.cd,INDEX($S:$S,ROW()),IF(_xlpm.cd="","",IFERROR(_xlfn.XLOOKUP(_xlpm.cd,CostData!$C$22:$C$1000,CostData!$E$22:$E$1000,""),"")))</f>
        <v>Outer</v>
      </c>
      <c r="U92" s="452" t="s">
        <v>103</v>
      </c>
      <c r="V92" s="452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451" t="s">
        <v>382</v>
      </c>
      <c r="C93" s="451" t="s">
        <v>1989</v>
      </c>
      <c r="D93" s="451" t="s">
        <v>1792</v>
      </c>
      <c r="E93" s="451" t="str">
        <v>Z-Louvre Blade - 5"</v>
      </c>
      <c r="F93" s="451" t="s">
        <v>1960</v>
      </c>
      <c r="G93" s="451"/>
      <c r="H93" s="451"/>
      <c r="I93" s="451"/>
      <c r="J93" s="451"/>
      <c r="K93" s="451"/>
      <c r="L93" s="451"/>
      <c r="M93" s="455">
        <v>0.02</v>
      </c>
      <c r="N93" s="451">
        <v>914.4</v>
      </c>
      <c r="O93" s="451" t="s">
        <v>1957</v>
      </c>
      <c r="P93" s="452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452" t="str" cm="1">
        <f t="array" ref="Q93">_xlfn.LET(_xlpm.cd,INDEX($S:$S,ROW()),IF(_xlpm.cd="","",IFERROR(_xlfn.XLOOKUP(_xlpm.cd,CostData!$C$22:$C$1000,CostData!$B$22:$B$1000,""),"")))</f>
        <v>Aluminium</v>
      </c>
      <c r="R93" s="453" t="s">
        <v>1861</v>
      </c>
      <c r="S93" s="454" t="s">
        <v>1971</v>
      </c>
      <c r="T93" s="452" t="str" cm="1">
        <f t="array" ref="T93">_xlfn.LET(_xlpm.cd,INDEX($S:$S,ROW()),IF(_xlpm.cd="","",IFERROR(_xlfn.XLOOKUP(_xlpm.cd,CostData!$C$22:$C$1000,CostData!$E$22:$E$1000,""),"")))</f>
        <v>Outer</v>
      </c>
      <c r="U93" s="452" t="s">
        <v>103</v>
      </c>
      <c r="V93" s="452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451" t="s">
        <v>1846</v>
      </c>
      <c r="C94" s="451" t="s">
        <v>1989</v>
      </c>
      <c r="D94" s="451" t="s">
        <v>1814</v>
      </c>
      <c r="E94" s="451" t="str">
        <v/>
      </c>
      <c r="F94" s="451" t="s">
        <v>1961</v>
      </c>
      <c r="G94" s="451"/>
      <c r="H94" s="451"/>
      <c r="I94" s="451"/>
      <c r="J94" s="451"/>
      <c r="K94" s="451"/>
      <c r="L94" s="451"/>
      <c r="M94" s="455">
        <v>0.03</v>
      </c>
      <c r="N94" s="451">
        <v>914.4</v>
      </c>
      <c r="O94" s="451" t="s">
        <v>1958</v>
      </c>
      <c r="P94" s="452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452" t="str" cm="1">
        <f t="array" ref="Q94">_xlfn.LET(_xlpm.cd,INDEX($S:$S,ROW()),IF(_xlpm.cd="","",IFERROR(_xlfn.XLOOKUP(_xlpm.cd,CostData!$C$22:$C$1000,CostData!$B$22:$B$1000,""),"")))</f>
        <v>Aluminium</v>
      </c>
      <c r="R94" s="453" t="s">
        <v>1811</v>
      </c>
      <c r="S94" s="454" t="s">
        <v>1953</v>
      </c>
      <c r="T94" s="452" t="str" cm="1">
        <f t="array" ref="T94">_xlfn.LET(_xlpm.cd,INDEX($S:$S,ROW()),IF(_xlpm.cd="","",IFERROR(_xlfn.XLOOKUP(_xlpm.cd,CostData!$C$22:$C$1000,CostData!$E$22:$E$1000,""),"")))</f>
        <v>Outer / Innner</v>
      </c>
      <c r="U94" s="452" t="s">
        <v>103</v>
      </c>
      <c r="V94" s="452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B95" s="451"/>
      <c r="C95" s="451" t="s">
        <v>1989</v>
      </c>
      <c r="D95" s="451"/>
      <c r="E95" s="451" t="str">
        <v/>
      </c>
      <c r="F95" s="451" t="s">
        <v>1962</v>
      </c>
      <c r="G95" s="451"/>
      <c r="H95" s="451"/>
      <c r="I95" s="451"/>
      <c r="J95" s="451"/>
      <c r="K95" s="451"/>
      <c r="L95" s="451"/>
      <c r="M95" s="455">
        <v>0.04</v>
      </c>
      <c r="N95" s="451">
        <v>914.4</v>
      </c>
      <c r="O95" s="451" t="s">
        <v>1959</v>
      </c>
      <c r="P95" s="452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452" t="str" cm="1">
        <f t="array" ref="Q95">_xlfn.LET(_xlpm.cd,INDEX($S:$S,ROW()),IF(_xlpm.cd="","",IFERROR(_xlfn.XLOOKUP(_xlpm.cd,CostData!$C$22:$C$1000,CostData!$B$22:$B$1000,""),"")))</f>
        <v>Aluminium</v>
      </c>
      <c r="R95" s="453" t="s">
        <v>1862</v>
      </c>
      <c r="S95" s="454" t="s">
        <v>1953</v>
      </c>
      <c r="T95" s="452" t="str" cm="1">
        <f t="array" ref="T95">_xlfn.LET(_xlpm.cd,INDEX($S:$S,ROW()),IF(_xlpm.cd="","",IFERROR(_xlfn.XLOOKUP(_xlpm.cd,CostData!$C$22:$C$1000,CostData!$E$22:$E$1000,""),"")))</f>
        <v>Outer / Innner</v>
      </c>
      <c r="U95" s="452" t="s">
        <v>103</v>
      </c>
      <c r="V95" s="452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B96" s="451"/>
      <c r="C96" s="451" t="s">
        <v>1989</v>
      </c>
      <c r="D96" s="451"/>
      <c r="E96" s="451" t="str">
        <v/>
      </c>
      <c r="F96" s="451" t="s">
        <v>1969</v>
      </c>
      <c r="G96" s="451"/>
      <c r="H96" s="451"/>
      <c r="I96" s="451"/>
      <c r="J96" s="451"/>
      <c r="K96" s="451"/>
      <c r="L96" s="451"/>
      <c r="M96" s="455">
        <v>0.05</v>
      </c>
      <c r="N96" s="451">
        <v>1000</v>
      </c>
      <c r="O96" s="451" t="s">
        <v>1967</v>
      </c>
      <c r="P96" s="452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452" t="str" cm="1">
        <f t="array" ref="Q96">_xlfn.LET(_xlpm.cd,INDEX($S:$S,ROW()),IF(_xlpm.cd="","",IFERROR(_xlfn.XLOOKUP(_xlpm.cd,CostData!$C$22:$C$1000,CostData!$B$22:$B$1000,""),"")))</f>
        <v>Aluminium</v>
      </c>
      <c r="R96" s="453" t="s">
        <v>1861</v>
      </c>
      <c r="S96" s="454" t="s">
        <v>1953</v>
      </c>
      <c r="T96" s="452" t="str" cm="1">
        <f t="array" ref="T96">_xlfn.LET(_xlpm.cd,INDEX($S:$S,ROW()),IF(_xlpm.cd="","",IFERROR(_xlfn.XLOOKUP(_xlpm.cd,CostData!$C$22:$C$1000,CostData!$E$22:$E$1000,""),"")))</f>
        <v>Outer / Innner</v>
      </c>
      <c r="U96" s="452" t="s">
        <v>103</v>
      </c>
      <c r="V96" s="452" t="str">
        <f>_xlfn.LET(_xlpm.w,Enginuity!$B$6,_xlpm.h,Enginuity!$B$7,_xlpm.tot,IF(_xlpm.h&gt;12,"MAX 12FT",IF(_xlpm.h&gt;8,_xlpm.w,0)),IF(_xlpm.tot=0,"",_xlpm.tot))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B97" s="451"/>
      <c r="C97" s="451" t="s">
        <v>1989</v>
      </c>
      <c r="D97" s="451"/>
      <c r="E97" s="451" t="str">
        <v/>
      </c>
      <c r="F97" s="451" t="s">
        <v>1970</v>
      </c>
      <c r="G97" s="451"/>
      <c r="H97" s="451"/>
      <c r="I97" s="451"/>
      <c r="J97" s="451"/>
      <c r="K97" s="451"/>
      <c r="L97" s="451"/>
      <c r="M97" s="455">
        <v>0.06</v>
      </c>
      <c r="N97" s="451">
        <v>1000</v>
      </c>
      <c r="O97" s="451" t="s">
        <v>1968</v>
      </c>
      <c r="P97" s="452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452" t="str" cm="1">
        <f t="array" ref="Q97">_xlfn.LET(_xlpm.cd,INDEX($S:$S,ROW()),IF(_xlpm.cd="","",IFERROR(_xlfn.XLOOKUP(_xlpm.cd,CostData!$C$22:$C$1000,CostData!$B$22:$B$1000,""),"")))</f>
        <v>Aluminium</v>
      </c>
      <c r="R97" s="453" t="s">
        <v>1811</v>
      </c>
      <c r="S97" s="454" t="s">
        <v>1940</v>
      </c>
      <c r="T97" s="452" t="str" cm="1">
        <f t="array" ref="T97">_xlfn.LET(_xlpm.cd,INDEX($S:$S,ROW()),IF(_xlpm.cd="","",IFERROR(_xlfn.XLOOKUP(_xlpm.cd,CostData!$C$22:$C$1000,CostData!$E$22:$E$1000,""),"")))</f>
        <v>Outer / Innner</v>
      </c>
      <c r="U97" s="452" t="s">
        <v>103</v>
      </c>
      <c r="V97" s="452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B98" s="451"/>
      <c r="C98" s="451" t="s">
        <v>1989</v>
      </c>
      <c r="D98" s="451"/>
      <c r="E98" s="451" t="str">
        <v/>
      </c>
      <c r="F98" s="451"/>
      <c r="G98" s="451"/>
      <c r="H98" s="451"/>
      <c r="I98" s="451"/>
      <c r="J98" s="451"/>
      <c r="K98" s="451"/>
      <c r="L98" s="451"/>
      <c r="M98" s="455"/>
      <c r="N98" s="451"/>
      <c r="O98" s="451"/>
      <c r="P98" s="452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452" t="str" cm="1">
        <f t="array" ref="Q98">_xlfn.LET(_xlpm.cd,INDEX($S:$S,ROW()),IF(_xlpm.cd="","",IFERROR(_xlfn.XLOOKUP(_xlpm.cd,CostData!$C$22:$C$1000,CostData!$B$22:$B$1000,""),"")))</f>
        <v>Aluminium</v>
      </c>
      <c r="R98" s="453" t="s">
        <v>1862</v>
      </c>
      <c r="S98" s="454" t="s">
        <v>1940</v>
      </c>
      <c r="T98" s="452" t="str" cm="1">
        <f t="array" ref="T98">_xlfn.LET(_xlpm.cd,INDEX($S:$S,ROW()),IF(_xlpm.cd="","",IFERROR(_xlfn.XLOOKUP(_xlpm.cd,CostData!$C$22:$C$1000,CostData!$E$22:$E$1000,""),"")))</f>
        <v>Outer / Innner</v>
      </c>
      <c r="U98" s="452" t="s">
        <v>103</v>
      </c>
      <c r="V98" s="452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B99" s="451"/>
      <c r="C99" s="451" t="s">
        <v>1989</v>
      </c>
      <c r="D99" s="451"/>
      <c r="E99" s="451" t="str">
        <v/>
      </c>
      <c r="F99" s="451"/>
      <c r="G99" s="451"/>
      <c r="H99" s="451"/>
      <c r="I99" s="451"/>
      <c r="J99" s="451"/>
      <c r="K99" s="451"/>
      <c r="L99" s="451"/>
      <c r="M99" s="451"/>
      <c r="N99" s="451"/>
      <c r="O99" s="451"/>
      <c r="P99" s="452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452" t="str" cm="1">
        <f t="array" ref="Q99">_xlfn.LET(_xlpm.cd,INDEX($S:$S,ROW()),IF(_xlpm.cd="","",IFERROR(_xlfn.XLOOKUP(_xlpm.cd,CostData!$C$22:$C$1000,CostData!$B$22:$B$1000,""),"")))</f>
        <v>Aluminium</v>
      </c>
      <c r="R99" s="453" t="s">
        <v>1861</v>
      </c>
      <c r="S99" s="454" t="s">
        <v>1940</v>
      </c>
      <c r="T99" s="452" t="str" cm="1">
        <f t="array" ref="T99">_xlfn.LET(_xlpm.cd,INDEX($S:$S,ROW()),IF(_xlpm.cd="","",IFERROR(_xlfn.XLOOKUP(_xlpm.cd,CostData!$C$22:$C$1000,CostData!$E$22:$E$1000,""),"")))</f>
        <v>Outer / Innner</v>
      </c>
      <c r="U99" s="452" t="s">
        <v>103</v>
      </c>
      <c r="V99" s="452" t="str">
        <f>_xlfn.LET(_xlpm.w,Enginuity!$B$6,_xlpm.h,Enginuity!$B$7,_xlpm.tot,IF(_xlpm.h&gt;16,"MAX 16FT",IF(_xlpm.h&gt;12,_xlpm.w*2,IF(_xlpm.h&gt;8,_xlpm.w,0))),IF(_xlpm.tot=0,"",_xlpm.tot))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B100" s="451"/>
      <c r="C100" s="451" t="s">
        <v>1989</v>
      </c>
      <c r="D100" s="451"/>
      <c r="E100" s="451" t="str">
        <v/>
      </c>
      <c r="F100" s="451"/>
      <c r="G100" s="451"/>
      <c r="H100" s="451"/>
      <c r="I100" s="451"/>
      <c r="J100" s="451"/>
      <c r="K100" s="451"/>
      <c r="L100" s="451"/>
      <c r="M100" s="451"/>
      <c r="N100" s="451"/>
      <c r="O100" s="451"/>
      <c r="P100" s="452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452" t="str" cm="1">
        <f t="array" ref="Q100">_xlfn.LET(_xlpm.cd,INDEX($S:$S,ROW()),IF(_xlpm.cd="","",IFERROR(_xlfn.XLOOKUP(_xlpm.cd,CostData!$C$22:$C$1000,CostData!$B$22:$B$1000,""),"")))</f>
        <v>Aluminium</v>
      </c>
      <c r="R100" s="453" t="s">
        <v>1811</v>
      </c>
      <c r="S100" s="454" t="s">
        <v>1948</v>
      </c>
      <c r="T100" s="452" t="str" cm="1">
        <f t="array" ref="T100">_xlfn.LET(_xlpm.cd,INDEX($S:$S,ROW()),IF(_xlpm.cd="","",IFERROR(_xlfn.XLOOKUP(_xlpm.cd,CostData!$C$22:$C$1000,CostData!$E$22:$E$1000,""),"")))</f>
        <v>Outer / Innner</v>
      </c>
      <c r="U100" s="452" t="s">
        <v>103</v>
      </c>
      <c r="V100" s="452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B101" s="451"/>
      <c r="C101" s="451" t="s">
        <v>1989</v>
      </c>
      <c r="D101" s="451"/>
      <c r="E101" s="451"/>
      <c r="F101" s="451" t="str">
        <f>"▼ [Lattice Option]"</f>
        <v>▼ [Lattice Option]</v>
      </c>
      <c r="G101" s="451"/>
      <c r="H101" s="451"/>
      <c r="I101" s="451"/>
      <c r="J101" s="451"/>
      <c r="K101" s="451"/>
      <c r="L101" s="451"/>
      <c r="M101" s="451"/>
      <c r="N101" s="451"/>
      <c r="O101" s="451"/>
      <c r="P101" s="452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452" t="str" cm="1">
        <f t="array" ref="Q101">_xlfn.LET(_xlpm.cd,INDEX($S:$S,ROW()),IF(_xlpm.cd="","",IFERROR(_xlfn.XLOOKUP(_xlpm.cd,CostData!$C$22:$C$1000,CostData!$B$22:$B$1000,""),"")))</f>
        <v>Aluminium</v>
      </c>
      <c r="R101" s="453" t="s">
        <v>1862</v>
      </c>
      <c r="S101" s="454" t="s">
        <v>1948</v>
      </c>
      <c r="T101" s="452" t="str" cm="1">
        <f t="array" ref="T101">_xlfn.LET(_xlpm.cd,INDEX($S:$S,ROW()),IF(_xlpm.cd="","",IFERROR(_xlfn.XLOOKUP(_xlpm.cd,CostData!$C$22:$C$1000,CostData!$E$22:$E$1000,""),"")))</f>
        <v>Outer / Innner</v>
      </c>
      <c r="U101" s="452" t="s">
        <v>103</v>
      </c>
      <c r="V101" s="452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B102" s="451"/>
      <c r="C102" s="451" t="s">
        <v>1989</v>
      </c>
      <c r="D102" s="451"/>
      <c r="E102" s="451"/>
      <c r="F102" s="451" t="s">
        <v>2085</v>
      </c>
      <c r="G102" s="451"/>
      <c r="H102" s="451"/>
      <c r="I102" s="451"/>
      <c r="J102" s="451"/>
      <c r="K102" s="451"/>
      <c r="L102" s="451"/>
      <c r="M102" s="451"/>
      <c r="N102" s="451"/>
      <c r="O102" s="451"/>
      <c r="P102" s="452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452" t="str" cm="1">
        <f t="array" ref="Q102">_xlfn.LET(_xlpm.cd,INDEX($S:$S,ROW()),IF(_xlpm.cd="","",IFERROR(_xlfn.XLOOKUP(_xlpm.cd,CostData!$C$22:$C$1000,CostData!$B$22:$B$1000,""),"")))</f>
        <v>Aluminium</v>
      </c>
      <c r="R102" s="453" t="s">
        <v>1861</v>
      </c>
      <c r="S102" s="454" t="s">
        <v>1948</v>
      </c>
      <c r="T102" s="452" t="str" cm="1">
        <f t="array" ref="T102">_xlfn.LET(_xlpm.cd,INDEX($S:$S,ROW()),IF(_xlpm.cd="","",IFERROR(_xlfn.XLOOKUP(_xlpm.cd,CostData!$C$22:$C$1000,CostData!$E$22:$E$1000,""),"")))</f>
        <v>Outer / Innner</v>
      </c>
      <c r="U102" s="452" t="s">
        <v>103</v>
      </c>
      <c r="V102" s="452" t="str">
        <f>_xlfn.LET(_xlpm.w,Enginuity!$B$6,_xlpm.h,Enginuity!$B$7,_xlpm.tot,IF(_xlpm.h&gt;16,"MAX 16FT",IF(_xlpm.h&gt;12,_xlpm.w*2,IF(_xlpm.h&gt;8,_xlpm.w,0))),IF(_xlpm.tot=0,"",_xlpm.tot))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B103" s="451"/>
      <c r="C103" s="451" t="s">
        <v>1989</v>
      </c>
      <c r="D103" s="451"/>
      <c r="E103" s="451"/>
      <c r="F103" s="451" t="s">
        <v>2086</v>
      </c>
      <c r="G103" s="451"/>
      <c r="H103" s="451"/>
      <c r="I103" s="451"/>
      <c r="J103" s="451"/>
      <c r="K103" s="451"/>
      <c r="L103" s="451"/>
      <c r="M103" s="451"/>
      <c r="N103" s="451"/>
      <c r="O103" s="451"/>
      <c r="P103" s="452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452" t="str" cm="1">
        <f t="array" ref="Q103">_xlfn.LET(_xlpm.cd,INDEX($S:$S,ROW()),IF(_xlpm.cd="","",IFERROR(_xlfn.XLOOKUP(_xlpm.cd,CostData!$C$22:$C$1000,CostData!$B$22:$B$1000,""),"")))</f>
        <v>Aluminium</v>
      </c>
      <c r="R103" s="453" t="s">
        <v>1811</v>
      </c>
      <c r="S103" s="454" t="s">
        <v>1965</v>
      </c>
      <c r="T103" s="452" t="str" cm="1">
        <f t="array" ref="T103">_xlfn.LET(_xlpm.cd,INDEX($S:$S,ROW()),IF(_xlpm.cd="","",IFERROR(_xlfn.XLOOKUP(_xlpm.cd,CostData!$C$22:$C$1000,CostData!$E$22:$E$1000,""),"")))</f>
        <v>Outer / Mullion</v>
      </c>
      <c r="U103" s="452" t="s">
        <v>103</v>
      </c>
      <c r="V103" s="452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B104" s="451"/>
      <c r="C104" s="451" t="s">
        <v>1989</v>
      </c>
      <c r="D104" s="451"/>
      <c r="E104" s="451"/>
      <c r="F104" s="451" t="s">
        <v>2087</v>
      </c>
      <c r="G104" s="451"/>
      <c r="H104" s="451"/>
      <c r="I104" s="451"/>
      <c r="J104" s="451"/>
      <c r="K104" s="451"/>
      <c r="L104" s="451"/>
      <c r="M104" s="451"/>
      <c r="N104" s="451"/>
      <c r="O104" s="451"/>
      <c r="P104" s="452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452" t="str" cm="1">
        <f t="array" ref="Q104">_xlfn.LET(_xlpm.cd,INDEX($S:$S,ROW()),IF(_xlpm.cd="","",IFERROR(_xlfn.XLOOKUP(_xlpm.cd,CostData!$C$22:$C$1000,CostData!$B$22:$B$1000,""),"")))</f>
        <v>Aluminium</v>
      </c>
      <c r="R104" s="453" t="s">
        <v>1862</v>
      </c>
      <c r="S104" s="454" t="s">
        <v>1965</v>
      </c>
      <c r="T104" s="452" t="str" cm="1">
        <f t="array" ref="T104">_xlfn.LET(_xlpm.cd,INDEX($S:$S,ROW()),IF(_xlpm.cd="","",IFERROR(_xlfn.XLOOKUP(_xlpm.cd,CostData!$C$22:$C$1000,CostData!$E$22:$E$1000,""),"")))</f>
        <v>Outer / Mullion</v>
      </c>
      <c r="U104" s="452" t="s">
        <v>103</v>
      </c>
      <c r="V104" s="452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B105" s="451"/>
      <c r="C105" s="451" t="s">
        <v>1989</v>
      </c>
      <c r="D105" s="451"/>
      <c r="E105" s="451"/>
      <c r="F105" s="451"/>
      <c r="G105" s="451"/>
      <c r="H105" s="451"/>
      <c r="I105" s="451"/>
      <c r="J105" s="451"/>
      <c r="K105" s="451"/>
      <c r="L105" s="451"/>
      <c r="M105" s="451"/>
      <c r="N105" s="451"/>
      <c r="O105" s="451"/>
      <c r="P105" s="452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452" t="str" cm="1">
        <f t="array" ref="Q105">_xlfn.LET(_xlpm.cd,INDEX($S:$S,ROW()),IF(_xlpm.cd="","",IFERROR(_xlfn.XLOOKUP(_xlpm.cd,CostData!$C$22:$C$1000,CostData!$B$22:$B$1000,""),"")))</f>
        <v>Aluminium</v>
      </c>
      <c r="R105" s="453" t="s">
        <v>1861</v>
      </c>
      <c r="S105" s="454" t="s">
        <v>1965</v>
      </c>
      <c r="T105" s="452" t="str" cm="1">
        <f t="array" ref="T105">_xlfn.LET(_xlpm.cd,INDEX($S:$S,ROW()),IF(_xlpm.cd="","",IFERROR(_xlfn.XLOOKUP(_xlpm.cd,CostData!$C$22:$C$1000,CostData!$E$22:$E$1000,""),"")))</f>
        <v>Outer / Mullion</v>
      </c>
      <c r="U105" s="452" t="s">
        <v>103</v>
      </c>
      <c r="V105" s="452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B106" s="451"/>
      <c r="C106" s="451" t="s">
        <v>1989</v>
      </c>
      <c r="D106" s="451"/>
      <c r="E106" s="451"/>
      <c r="F106" s="451"/>
      <c r="G106" s="451"/>
      <c r="H106" s="451"/>
      <c r="I106" s="451"/>
      <c r="J106" s="451"/>
      <c r="K106" s="451"/>
      <c r="L106" s="451"/>
      <c r="M106" s="451"/>
      <c r="N106" s="451"/>
      <c r="O106" s="451"/>
      <c r="P106" s="452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452" t="str" cm="1">
        <f t="array" ref="Q106">_xlfn.LET(_xlpm.cd,INDEX($S:$S,ROW()),IF(_xlpm.cd="","",IFERROR(_xlfn.XLOOKUP(_xlpm.cd,CostData!$C$22:$C$1000,CostData!$B$22:$B$1000,""),"")))</f>
        <v>Aluminium</v>
      </c>
      <c r="R106" s="453" t="s">
        <v>1811</v>
      </c>
      <c r="S106" s="454" t="s">
        <v>1964</v>
      </c>
      <c r="T106" s="452" t="str" cm="1">
        <f t="array" ref="T106">_xlfn.LET(_xlpm.cd,INDEX($S:$S,ROW()),IF(_xlpm.cd="","",IFERROR(_xlfn.XLOOKUP(_xlpm.cd,CostData!$C$22:$C$1000,CostData!$E$22:$E$1000,""),"")))</f>
        <v>Outer / Mullion</v>
      </c>
      <c r="U106" s="452" t="s">
        <v>103</v>
      </c>
      <c r="V106" s="452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B107" s="451"/>
      <c r="C107" s="451" t="s">
        <v>1989</v>
      </c>
      <c r="D107" s="451"/>
      <c r="E107" s="451"/>
      <c r="F107" s="451"/>
      <c r="G107" s="451"/>
      <c r="H107" s="451"/>
      <c r="I107" s="451"/>
      <c r="J107" s="451"/>
      <c r="K107" s="451"/>
      <c r="L107" s="451"/>
      <c r="M107" s="451"/>
      <c r="N107" s="451"/>
      <c r="O107" s="451"/>
      <c r="P107" s="452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452" t="str" cm="1">
        <f t="array" ref="Q107">_xlfn.LET(_xlpm.cd,INDEX($S:$S,ROW()),IF(_xlpm.cd="","",IFERROR(_xlfn.XLOOKUP(_xlpm.cd,CostData!$C$22:$C$1000,CostData!$B$22:$B$1000,""),"")))</f>
        <v>Aluminium</v>
      </c>
      <c r="R107" s="453" t="s">
        <v>1862</v>
      </c>
      <c r="S107" s="454" t="s">
        <v>1964</v>
      </c>
      <c r="T107" s="452" t="str" cm="1">
        <f t="array" ref="T107">_xlfn.LET(_xlpm.cd,INDEX($S:$S,ROW()),IF(_xlpm.cd="","",IFERROR(_xlfn.XLOOKUP(_xlpm.cd,CostData!$C$22:$C$1000,CostData!$E$22:$E$1000,""),"")))</f>
        <v>Outer / Mullion</v>
      </c>
      <c r="U107" s="452" t="s">
        <v>103</v>
      </c>
      <c r="V107" s="452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B108" s="451"/>
      <c r="C108" s="451" t="s">
        <v>1989</v>
      </c>
      <c r="D108" s="451"/>
      <c r="E108" s="451"/>
      <c r="F108" s="451"/>
      <c r="G108" s="451"/>
      <c r="H108" s="451"/>
      <c r="I108" s="451"/>
      <c r="J108" s="451"/>
      <c r="K108" s="451"/>
      <c r="L108" s="451"/>
      <c r="M108" s="451"/>
      <c r="N108" s="451"/>
      <c r="O108" s="451"/>
      <c r="P108" s="452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452" t="str" cm="1">
        <f t="array" ref="Q108">_xlfn.LET(_xlpm.cd,INDEX($S:$S,ROW()),IF(_xlpm.cd="","",IFERROR(_xlfn.XLOOKUP(_xlpm.cd,CostData!$C$22:$C$1000,CostData!$B$22:$B$1000,""),"")))</f>
        <v>Aluminium</v>
      </c>
      <c r="R108" s="453" t="s">
        <v>1861</v>
      </c>
      <c r="S108" s="454" t="s">
        <v>1964</v>
      </c>
      <c r="T108" s="452" t="str" cm="1">
        <f t="array" ref="T108">_xlfn.LET(_xlpm.cd,INDEX($S:$S,ROW()),IF(_xlpm.cd="","",IFERROR(_xlfn.XLOOKUP(_xlpm.cd,CostData!$C$22:$C$1000,CostData!$E$22:$E$1000,""),"")))</f>
        <v>Outer / Mullion</v>
      </c>
      <c r="U108" s="452" t="s">
        <v>103</v>
      </c>
      <c r="V108" s="452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B109" s="451"/>
      <c r="C109" s="451" t="s">
        <v>1989</v>
      </c>
      <c r="D109" s="451"/>
      <c r="E109" s="451"/>
      <c r="F109" s="451"/>
      <c r="G109" s="451"/>
      <c r="H109" s="451"/>
      <c r="I109" s="451"/>
      <c r="J109" s="451"/>
      <c r="K109" s="451"/>
      <c r="L109" s="451"/>
      <c r="M109" s="451"/>
      <c r="N109" s="451"/>
      <c r="O109" s="451"/>
      <c r="P109" s="452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452" t="s">
        <v>762</v>
      </c>
      <c r="R109" s="456" t="str">
        <f>S109</f>
        <v>12-Box Lattice</v>
      </c>
      <c r="S109" s="457" t="str">
        <f>Enginuity!$A$21</f>
        <v>12-Box Lattice</v>
      </c>
      <c r="T109" s="456" t="str">
        <f>S109</f>
        <v>12-Box Lattice</v>
      </c>
      <c r="U109" s="452" t="s">
        <v>176</v>
      </c>
      <c r="V109" s="452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9" t="str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110" spans="1:23" x14ac:dyDescent="0.25">
      <c r="A110" s="274" t="s">
        <v>254</v>
      </c>
      <c r="B110" s="451"/>
      <c r="C110" s="451" t="s">
        <v>1989</v>
      </c>
      <c r="D110" s="451"/>
      <c r="E110" s="451"/>
      <c r="F110" s="451"/>
      <c r="G110" s="451"/>
      <c r="H110" s="451"/>
      <c r="I110" s="451"/>
      <c r="J110" s="451"/>
      <c r="K110" s="451"/>
      <c r="L110" s="451"/>
      <c r="M110" s="451"/>
      <c r="N110" s="451"/>
      <c r="O110" s="451"/>
      <c r="P110" s="452"/>
      <c r="Q110" s="452"/>
      <c r="R110" s="453"/>
      <c r="S110" s="454"/>
      <c r="T110" s="452"/>
      <c r="U110" s="452"/>
      <c r="V110" s="452"/>
      <c r="W110" s="399"/>
    </row>
    <row r="111" spans="1:23" x14ac:dyDescent="0.25">
      <c r="A111" s="274" t="s">
        <v>254</v>
      </c>
      <c r="B111" s="451"/>
      <c r="C111" s="451" t="s">
        <v>1989</v>
      </c>
      <c r="D111" s="451"/>
      <c r="E111" s="451"/>
      <c r="F111" s="451"/>
      <c r="G111" s="451"/>
      <c r="H111" s="451"/>
      <c r="I111" s="451"/>
      <c r="J111" s="451"/>
      <c r="K111" s="451"/>
      <c r="L111" s="451"/>
      <c r="M111" s="451"/>
      <c r="N111" s="451"/>
      <c r="O111" s="451"/>
      <c r="P111" s="452"/>
      <c r="Q111" s="452"/>
      <c r="R111" s="453"/>
      <c r="S111" s="454"/>
      <c r="T111" s="452"/>
      <c r="U111" s="452"/>
      <c r="V111" s="452"/>
      <c r="W111" s="399"/>
    </row>
    <row r="112" spans="1:23" x14ac:dyDescent="0.25">
      <c r="A112" s="274" t="s">
        <v>254</v>
      </c>
      <c r="B112" s="451"/>
      <c r="C112" s="451" t="s">
        <v>1989</v>
      </c>
      <c r="D112" s="451"/>
      <c r="E112" s="451"/>
      <c r="F112" s="451"/>
      <c r="G112" s="451"/>
      <c r="H112" s="451"/>
      <c r="I112" s="451"/>
      <c r="J112" s="451"/>
      <c r="K112" s="451"/>
      <c r="L112" s="451"/>
      <c r="M112" s="451"/>
      <c r="N112" s="451"/>
      <c r="O112" s="451"/>
      <c r="P112" s="452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452" t="s">
        <v>1832</v>
      </c>
      <c r="R112" s="453" t="str">
        <f>IF($T112="","","⬒ "&amp;$T112)</f>
        <v>⬒ Z-Louvre Blade - 2"</v>
      </c>
      <c r="S112" s="454"/>
      <c r="T112" s="452" t="str">
        <f>IF(Enginuity!$A$20="","",Enginuity!$A$20)</f>
        <v>Z-Louvre Blade - 2"</v>
      </c>
      <c r="U112" s="452" t="s">
        <v>121</v>
      </c>
      <c r="V112" s="452">
        <f>IF(Enginuity!$B$9="","",Enginuity!$B$9)</f>
        <v>70</v>
      </c>
      <c r="W112" s="399">
        <f>IFERROR(INDEX(CostData!$Q$3:$Q$12,MATCH(TRIM(Enginuity!$A$20),CostData!$P$3:$P$12,0)),"")</f>
        <v>10.448571428571428</v>
      </c>
    </row>
    <row r="113" spans="1:23" x14ac:dyDescent="0.25">
      <c r="A113" s="274" t="s">
        <v>254</v>
      </c>
      <c r="B113" s="451"/>
      <c r="C113" s="451" t="s">
        <v>1989</v>
      </c>
      <c r="D113" s="451"/>
      <c r="E113" s="451"/>
      <c r="F113" s="451"/>
      <c r="G113" s="451"/>
      <c r="H113" s="451"/>
      <c r="I113" s="451"/>
      <c r="J113" s="451"/>
      <c r="K113" s="451"/>
      <c r="L113" s="451"/>
      <c r="M113" s="451"/>
      <c r="N113" s="451"/>
      <c r="O113" s="451"/>
      <c r="P113" s="452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452"/>
      <c r="R113" s="456"/>
      <c r="S113" s="457"/>
      <c r="T113" s="456"/>
      <c r="U113" s="452"/>
      <c r="V113" s="452"/>
      <c r="W113" s="399"/>
    </row>
    <row r="114" spans="1:23" x14ac:dyDescent="0.25">
      <c r="A114" s="274" t="s">
        <v>254</v>
      </c>
      <c r="B114" s="451"/>
      <c r="C114" s="451" t="s">
        <v>1989</v>
      </c>
      <c r="D114" s="451"/>
      <c r="E114" s="451"/>
      <c r="F114" s="451"/>
      <c r="G114" s="451"/>
      <c r="H114" s="451"/>
      <c r="I114" s="451"/>
      <c r="J114" s="451"/>
      <c r="K114" s="451"/>
      <c r="L114" s="451"/>
      <c r="M114" s="451"/>
      <c r="N114" s="451"/>
      <c r="O114" s="451"/>
      <c r="P114" s="452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4" s="452"/>
      <c r="R114" s="453"/>
      <c r="S114" s="454"/>
      <c r="T114" s="452"/>
      <c r="U114" s="452"/>
      <c r="V114" s="452"/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B115" s="451"/>
      <c r="C115" s="451" t="s">
        <v>1989</v>
      </c>
      <c r="D115" s="451"/>
      <c r="E115" s="451"/>
      <c r="F115" s="451"/>
      <c r="G115" s="451"/>
      <c r="H115" s="451"/>
      <c r="I115" s="451"/>
      <c r="J115" s="451"/>
      <c r="K115" s="451"/>
      <c r="L115" s="451"/>
      <c r="M115" s="451"/>
      <c r="N115" s="451"/>
      <c r="O115" s="451"/>
      <c r="P115" s="452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5" s="452"/>
      <c r="R115" s="453"/>
      <c r="S115" s="454"/>
      <c r="T115" s="452"/>
      <c r="U115" s="452"/>
      <c r="V115" s="452"/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B116" s="451"/>
      <c r="C116" s="451" t="s">
        <v>1989</v>
      </c>
      <c r="D116" s="451"/>
      <c r="E116" s="451"/>
      <c r="F116" s="451"/>
      <c r="G116" s="451"/>
      <c r="H116" s="451"/>
      <c r="I116" s="451"/>
      <c r="J116" s="451"/>
      <c r="K116" s="451"/>
      <c r="L116" s="451"/>
      <c r="M116" s="451"/>
      <c r="N116" s="451"/>
      <c r="O116" s="451"/>
      <c r="P116" s="452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6" s="452"/>
      <c r="R116" s="453"/>
      <c r="S116" s="454"/>
      <c r="T116" s="452"/>
      <c r="U116" s="452"/>
      <c r="V116" s="452"/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B117" s="451"/>
      <c r="C117" s="451" t="s">
        <v>1989</v>
      </c>
      <c r="D117" s="451"/>
      <c r="E117" s="451"/>
      <c r="F117" s="451"/>
      <c r="G117" s="451"/>
      <c r="H117" s="451"/>
      <c r="I117" s="451"/>
      <c r="J117" s="451"/>
      <c r="K117" s="451"/>
      <c r="L117" s="451"/>
      <c r="M117" s="451"/>
      <c r="N117" s="451"/>
      <c r="O117" s="451"/>
      <c r="P117" s="452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452" t="str" cm="1">
        <f t="array" ref="Q117">_xlfn.LET(_xlpm.cd,INDEX($S:$S,ROW()),IF(_xlpm.cd="","",IFERROR(_xlfn.XLOOKUP(_xlpm.cd,CostData!$C$22:$C$1000,CostData!$B$22:$B$1000,""),"")))</f>
        <v>Aluminium</v>
      </c>
      <c r="R117" s="453" t="s">
        <v>1974</v>
      </c>
      <c r="S117" s="454" t="s">
        <v>1972</v>
      </c>
      <c r="T117" s="452" t="str" cm="1">
        <f t="array" ref="T117">_xlfn.LET(_xlpm.cd,INDEX($S:$S,ROW()),IF(_xlpm.cd="","",IFERROR(_xlfn.XLOOKUP(_xlpm.cd,CostData!$C$22:$C$1000,CostData!$E$22:$E$1000,""),"")))</f>
        <v>Misc</v>
      </c>
      <c r="U117" s="452" t="s">
        <v>112</v>
      </c>
      <c r="V117" s="452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B118" s="451"/>
      <c r="C118" s="451" t="s">
        <v>1989</v>
      </c>
      <c r="D118" s="451"/>
      <c r="E118" s="451"/>
      <c r="F118" s="451"/>
      <c r="G118" s="451"/>
      <c r="H118" s="451"/>
      <c r="I118" s="451"/>
      <c r="J118" s="451"/>
      <c r="K118" s="451"/>
      <c r="L118" s="451"/>
      <c r="M118" s="451"/>
      <c r="N118" s="451"/>
      <c r="O118" s="451"/>
      <c r="P118" s="452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452" t="str">
        <f>IF($S118="","",IFERROR(_xlfn.XLOOKUP($S118,CostData!$U$22:$U$1000,CostData!$T$22:$T$1000,""),""))</f>
        <v/>
      </c>
      <c r="R118" s="453" t="str">
        <f>IF($S118="","",$T118)</f>
        <v/>
      </c>
      <c r="S118" s="454" t="str" cm="1">
        <f t="array" ref="S118">IF($V118="","",_xlfn.LET(_xlpm.v,TRIM(Enginuity!$B$18),_xlfn.SWITCH(_xlpm.v,"Curtain Wall","BT40","SF 2""","BT25","SF 3""","BT25","SF 4""","BT25","Z-Louvre Blade - 2""","BT15","Z-Louvre Blade - 5""","BT15","")))</f>
        <v/>
      </c>
      <c r="T118" s="452" t="str" cm="1">
        <f t="array" ref="T118">_xlfn.LET(_xlpm.cd,INDEX($S:$S,ROW()),IF(_xlpm.cd="","",IFERROR(_xlfn.XLOOKUP(_xlpm.cd,CostData!$U$22:$U$1000,CostData!$W$22:$W$1000,""),"")))</f>
        <v/>
      </c>
      <c r="U118" s="452" t="str">
        <f>IF($S118="","",IFERROR(_xlfn.XLOOKUP($S118,CostData!$U$22:$U$1000,CostData!$AA$22:$AA$1000,""),""))</f>
        <v/>
      </c>
      <c r="V118" s="452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B119" s="451"/>
      <c r="C119" s="451" t="s">
        <v>1989</v>
      </c>
      <c r="D119" s="451"/>
      <c r="E119" s="451"/>
      <c r="F119" s="451"/>
      <c r="G119" s="451"/>
      <c r="H119" s="451"/>
      <c r="I119" s="451"/>
      <c r="J119" s="451"/>
      <c r="K119" s="451"/>
      <c r="L119" s="451"/>
      <c r="M119" s="451"/>
      <c r="N119" s="451"/>
      <c r="O119" s="451"/>
      <c r="P119" s="452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452" t="str">
        <f>IF($S119="","",IFERROR(_xlfn.XLOOKUP($S119,CostData!$U$22:$U$1000,CostData!$T$22:$T$1000,""),""))</f>
        <v>Silicone</v>
      </c>
      <c r="R119" s="453" t="s">
        <v>1987</v>
      </c>
      <c r="S119" s="454" t="s">
        <v>1979</v>
      </c>
      <c r="T119" s="452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452" t="s">
        <v>1988</v>
      </c>
      <c r="V119" s="452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12-Box Lattice</v>
      </c>
      <c r="T162" s="1" t="str">
        <f>IF(Enginuity!$A$21="","",Enginuity!$A$21)</f>
        <v>12-Box Lattice</v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Z-Louvre Blade - 2"</v>
      </c>
      <c r="T167" s="1" t="str">
        <f>IF(Enginuity!$A$20="","",Enginuity!$A$20)</f>
        <v>Z-Louvre Blade - 2"</v>
      </c>
      <c r="U167" s="1" t="s">
        <v>121</v>
      </c>
      <c r="V167" s="1">
        <f>IF(Enginuity!$B$9="","",Enginuity!$B$9)</f>
        <v>70</v>
      </c>
      <c r="W167" s="399">
        <f>IFERROR(INDEX(CostData!$Q$3:$Q$12,MATCH(TRIM(Enginuity!$A$20),CostData!$P$3:$P$12,0)),"")</f>
        <v>10.448571428571428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Z-Louvre Blade - 2"</v>
      </c>
      <c r="T197" s="1" t="str">
        <f>IF(Enginuity!$A$20="","",Enginuity!$A$20)</f>
        <v>Z-Louvre Blade - 2"</v>
      </c>
      <c r="U197" s="1" t="s">
        <v>121</v>
      </c>
      <c r="V197" s="1">
        <f>IF(Enginuity!$B$9="","",Enginuity!$B$9)</f>
        <v>70</v>
      </c>
      <c r="W197" s="399">
        <f>IFERROR(INDEX(CostData!$Q$3:$Q$12,MATCH(TRIM(Enginuity!$A$20),CostData!$P$3:$P$12,0)),"")</f>
        <v>10.448571428571428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Z-Louvre Blade - 2"</v>
      </c>
      <c r="T227" s="1" t="str">
        <f>IF(Enginuity!$A$20="","",Enginuity!$A$20)</f>
        <v>Z-Louvre Blade - 2"</v>
      </c>
      <c r="U227" s="1" t="s">
        <v>121</v>
      </c>
      <c r="V227" s="1">
        <f>IF(Enginuity!$B$9="","",Enginuity!$B$9)</f>
        <v>70</v>
      </c>
      <c r="W227" s="399">
        <f>IFERROR(INDEX(CostData!$Q$3:$Q$12,MATCH(TRIM(Enginuity!$A$20),CostData!$P$3:$P$12,0)),"")</f>
        <v>10.448571428571428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Z-Louvre Blade - 2"</v>
      </c>
      <c r="T257" s="1" t="str">
        <f>IF(Enginuity!$A$20="","",Enginuity!$A$20)</f>
        <v>Z-Louvre Blade - 2"</v>
      </c>
      <c r="U257" s="1" t="s">
        <v>121</v>
      </c>
      <c r="V257" s="1">
        <f>IF(Enginuity!$B$9="","",Enginuity!$B$9)</f>
        <v>70</v>
      </c>
      <c r="W257" s="399">
        <f>IFERROR(INDEX(CostData!$Q$3:$Q$12,MATCH(TRIM(Enginuity!$A$20),CostData!$P$3:$P$12,0)),"")</f>
        <v>10.448571428571428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164.90657511447657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164.90657511447657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Z-Louvre Blade - 2"</v>
      </c>
      <c r="T287" s="1" t="str">
        <f>IF(Enginuity!$A$20="","",Enginuity!$A$20)</f>
        <v>Z-Louvre Blade - 2"</v>
      </c>
      <c r="U287" s="1" t="s">
        <v>121</v>
      </c>
      <c r="V287" s="1">
        <f>IF(Enginuity!$B$9="","",Enginuity!$B$9)</f>
        <v>70</v>
      </c>
      <c r="W287" s="399">
        <f>IFERROR(INDEX(CostData!$Q$3:$Q$12,MATCH(TRIM(Enginuity!$A$20),CostData!$P$3:$P$12,0)),"")</f>
        <v>10.448571428571428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20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24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10.448571428571428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586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24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24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e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e">
        <f>IF(TRIM(Enginuity!$A$22)="","",IF(AND(Enginuity!$B$6&gt;0,Enginuity!$B$7&gt;0,Enginuity!$B$13&gt;0),(2*Enginuity!$B$7*Enginuity!$B$13)+(2*Enginuity!$B$6),""))</f>
        <v>#VALUE!</v>
      </c>
      <c r="W337" s="399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</v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Z-Louvre Blade - 2"</v>
      </c>
      <c r="T347" s="1" t="str">
        <f>IF(Enginuity!$A$20="","",Enginuity!$A$20)</f>
        <v>Z-Louvre Blade - 2"</v>
      </c>
      <c r="U347" s="1" t="s">
        <v>121</v>
      </c>
      <c r="V347" s="1">
        <f>IF(Enginuity!$B$9="","",Enginuity!$B$9)</f>
        <v>70</v>
      </c>
      <c r="W347" s="399">
        <f>IFERROR(INDEX(CostData!$Q$3:$Q$12,MATCH(TRIM(Enginuity!$A$20),CostData!$P$3:$P$12,0)),"")</f>
        <v>10.448571428571428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70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10.448571428571428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e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 t="str">
        <f>Enginuity!A22</f>
        <v>Top / Bottom</v>
      </c>
      <c r="U397" s="1" t="s">
        <v>1935</v>
      </c>
      <c r="V397" s="1" t="e">
        <f>IF(TRIM(Enginuity!$A$22)="","",IF(AND(Enginuity!$B$6&gt;0,Enginuity!$B$7&gt;0,Enginuity!$B$13&gt;0),(2*Enginuity!$B$7*Enginuity!$B$13)+(2*Enginuity!$B$6),""))</f>
        <v>#VALUE!</v>
      </c>
      <c r="W397" s="399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</v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Z-Louvre Blade - 2"</v>
      </c>
      <c r="T407" s="1" t="str">
        <f>IF(Enginuity!$A$20="","",Enginuity!$A$20)</f>
        <v>Z-Louvre Blade - 2"</v>
      </c>
      <c r="U407" s="1" t="s">
        <v>121</v>
      </c>
      <c r="V407" s="1">
        <f>IF(Enginuity!$B$9="","",Enginuity!$B$9)</f>
        <v>70</v>
      </c>
      <c r="W407" s="399">
        <f>IFERROR(INDEX(CostData!$Q$3:$Q$12,MATCH(TRIM(Enginuity!$A$20),CostData!$P$3:$P$12,0)),"")</f>
        <v>10.448571428571428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70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str">
        <f>IF($V$392="","",$V$392)</f>
        <v/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e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e">
        <f>IF(TRIM(Enginuity!$A$22)="","",IF(AND(Enginuity!$B$6&gt;0,Enginuity!$B$7&gt;0,Enginuity!$B$13&gt;0),(2*Enginuity!$B$7*Enginuity!$B$13)+(2*Enginuity!$B$6),""))</f>
        <v>#VALUE!</v>
      </c>
      <c r="W427" s="399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</v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Z-Louvre Blade - 2"</v>
      </c>
      <c r="T437" s="1" t="str">
        <f>IF(Enginuity!$A$20="","",Enginuity!$A$20)</f>
        <v>Z-Louvre Blade - 2"</v>
      </c>
      <c r="U437" s="1" t="s">
        <v>121</v>
      </c>
      <c r="V437" s="1">
        <f>IF(Enginuity!$B$9="","",Enginuity!$B$9)</f>
        <v>70</v>
      </c>
      <c r="W437" s="399">
        <f>IFERROR(INDEX(CostData!$Q$3:$Q$12,MATCH(TRIM(Enginuity!$A$20),CostData!$P$3:$P$12,0)),"")</f>
        <v>10.448571428571428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70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str">
        <f>IF($V$392="","",$V$392)</f>
        <v/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str">
        <f>IF($V$392="","",$V$392)</f>
        <v/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10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10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10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10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8.91</v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14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Z-Louvre Blade - 2"</v>
      </c>
      <c r="S465" s="1"/>
      <c r="T465" s="1" t="str">
        <f>IF(Enginuity!$A$20="","",Enginuity!$A$20)</f>
        <v>Z-Louvre Blade - 2"</v>
      </c>
      <c r="U465" s="1" t="s">
        <v>121</v>
      </c>
      <c r="V465" s="1">
        <f>IF(Enginuity!$B$9="","",Enginuity!$B$9)</f>
        <v>70</v>
      </c>
      <c r="W465" s="399">
        <f>IFERROR(INDEX(CostData!$Q$3:$Q$12,MATCH(TRIM(Enginuity!$A$20),CostData!$P$3:$P$12,0)),"")</f>
        <v>10.448571428571428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str">
        <f>IF($V$392="","",$V$392)</f>
        <v/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str">
        <f>IF($V$392="","",$V$392)</f>
        <v/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>10</v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Top / Bottom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Z-Louvre Blade - 2"</v>
      </c>
      <c r="T497" s="1" t="str">
        <f>IF(Enginuity!$A$20="","",Enginuity!$A$20)</f>
        <v>Z-Louvre Blade - 2"</v>
      </c>
      <c r="U497" s="1" t="s">
        <v>121</v>
      </c>
      <c r="V497" s="1">
        <f>IF(Enginuity!$B$9="","",Enginuity!$B$9)</f>
        <v>70</v>
      </c>
      <c r="W497" s="399">
        <f>IFERROR(INDEX(CostData!$Q$3:$Q$12,MATCH(TRIM(Enginuity!$A$20),CostData!$P$3:$P$12,0)),"")</f>
        <v>10.448571428571428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70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>10</v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Top / Bottom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Z-Louvre Blade - 2"</v>
      </c>
      <c r="T527" s="1" t="str">
        <f>IF(Enginuity!$A$20="","",Enginuity!$A$20)</f>
        <v>Z-Louvre Blade - 2"</v>
      </c>
      <c r="U527" s="1" t="s">
        <v>121</v>
      </c>
      <c r="V527" s="1">
        <f>IF(Enginuity!$B$9="","",Enginuity!$B$9)</f>
        <v>70</v>
      </c>
      <c r="W527" s="399">
        <f>IFERROR(INDEX(CostData!$Q$3:$Q$12,MATCH(TRIM(Enginuity!$A$20),CostData!$P$3:$P$12,0)),"")</f>
        <v>10.448571428571428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70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10.448571428571428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11.270000000000001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10.448571428571428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11.270000000000001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1" sqref="F1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24</v>
      </c>
      <c r="E2" s="243">
        <v>11.46</v>
      </c>
      <c r="F2" s="104">
        <f>IF(D2*E2=0, "", D2*E2)</f>
        <v>275.04000000000002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10</v>
      </c>
      <c r="E3" s="243">
        <v>2.99</v>
      </c>
      <c r="F3" s="104">
        <f t="shared" ref="F3:F49" si="0">IF(D3*E3=0, "", D3*E3)</f>
        <v>29.900000000000002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10</v>
      </c>
      <c r="E4" s="243">
        <v>5.7</v>
      </c>
      <c r="F4" s="104">
        <f t="shared" si="0"/>
        <v>57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10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E6" s="243">
        <v>0.56999999999999995</v>
      </c>
      <c r="F6" s="104">
        <f t="shared" si="0"/>
        <v>39.9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P8" s="14" t="s">
        <v>278</v>
      </c>
      <c r="Q8" s="82">
        <f>Enginuity!$B$6*2</f>
        <v>20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10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20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20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40</v>
      </c>
      <c r="P12" s="14" t="s">
        <v>284</v>
      </c>
      <c r="Q12" s="97">
        <f>Enginuity!$B$6</f>
        <v>10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20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10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10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Z-Louvre Blade - 2"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12-Box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 t="str">
        <f>Enginuity!$A$22</f>
        <v>Top / Bottom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- 2"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12-Box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 t="str">
        <f>Enginuity!$A$22</f>
        <v>Top / Bottom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10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10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20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20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10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10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- 2"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12-Box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 t="str">
        <f>Enginuity!$A$22</f>
        <v>Top / Bottom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10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10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20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20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10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10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- 2"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12-Box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 t="str">
        <f>Enginuity!$A$22</f>
        <v>Top / Bottom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10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10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20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20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10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10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- 2"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12-Box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 t="str">
        <f>Enginuity!$A$22</f>
        <v>Top / Bottom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10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10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20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20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10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10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- 2"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12-Box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 t="str">
        <f>Enginuity!$A$22</f>
        <v>Top / Bottom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20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10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40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- 2"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20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10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40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- 2"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20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14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- 2"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12-Box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 t="str">
        <f>Enginuity!$A$22</f>
        <v>Top / Bottom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275.04000000000002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14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- 2"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12-Box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 t="str">
        <f>Enginuity!$A$22</f>
        <v>Top / Bottom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20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24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24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- 2"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12-Box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 t="str">
        <f>Enginuity!$A$22</f>
        <v>Top / Bottom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- 2"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12-Box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 t="str">
        <f>Enginuity!$A$22</f>
        <v>Top / Bottom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- 2"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12-Box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 t="str">
        <f>Enginuity!$A$22</f>
        <v>Top / Bottom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- 2"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12-Box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 t="str">
        <f>Enginuity!$A$22</f>
        <v>Top / Bottom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10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35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70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70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70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70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10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35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70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70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70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70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10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70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70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70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70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70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Z-Louvre Blade - 2"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12-Box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Z-Louvre Blade - 2"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12-Box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Z-Louvre Blade - 2"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12-Box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10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10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- 2"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12-Box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 t="str">
        <f>Enginuity!$A$22</f>
        <v>Top / Bottom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10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10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20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20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10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10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- 2"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12-Box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10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10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20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20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10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10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- 2"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12-Box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70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10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210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24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24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7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210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70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35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20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10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10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24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210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210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70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35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70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70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24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10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- 2"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5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10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24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10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- 2"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5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10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Z-Louvre Blade - 2"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12-Box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 t="str">
        <f>Enginuity!$A$22</f>
        <v>Top / Bottom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Z-Louvre Blade - 2"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12-Box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 t="str">
        <f>Enginuity!$A$22</f>
        <v>Top / Bottom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Z-Louvre Blade - 2"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12-Box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 t="str">
        <f>Enginuity!$A$22</f>
        <v>Top / Bottom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- 2"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- 2"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Z-Louvre Blade - 2"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12-Box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 t="str">
        <f>Enginuity!$A$22</f>
        <v>Top / Bottom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Z-Louvre Blade - 2"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12-Box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 t="str">
        <f>Enginuity!$A$22</f>
        <v>Top / Bottom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51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Z-Louvre Blade - 2"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12-Box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287.7525</v>
      </c>
      <c r="P1221" s="105" t="str">
        <f>Enginuity!$A$22</f>
        <v>Top / Bottom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91.35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12-Box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Z-Louvre Blade - 2"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12-Box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 t="str">
        <f>Enginuity!$A$22</f>
        <v>Top / Bottom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 t="str">
        <f>Enginuity!$A$22</f>
        <v>Top / Bottom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 t="str">
        <f>Enginuity!$A$22</f>
        <v>Top / Bottom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 t="str">
        <f>Enginuity!$A$22</f>
        <v>Top / Bottom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 t="str">
        <f>Enginuity!$A$22</f>
        <v>Top / Bottom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 t="str">
        <f>Enginuity!$A$22</f>
        <v>Top / Bottom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Casement Window Standard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70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- 2"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Z-Louvre Blade - 2"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12-Box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 t="str">
        <f>Enginuity!$A$22</f>
        <v>Top / Bottom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Z-Louvre Blade - 2"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12-Box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 t="str">
        <f>Enginuity!$A$22</f>
        <v>Top / Bottom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70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10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10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- 2"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12-Box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24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- 2"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12-Box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24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1441.2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23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Casement Window Standard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Casement Window Standard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Casement Window Standard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Casement Window Standard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Z-Louvre Blade - 2"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1392.9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10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10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20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20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10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10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- 2"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12-Box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 t="str">
        <f>Enginuity!$A$22</f>
        <v>Top / Bottom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10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10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20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20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10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10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- 2"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12-Box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 t="str">
        <f>Enginuity!$A$22</f>
        <v>Top / Bottom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- 2"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- 2"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Standard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Z-Louvre Blade - 2"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12-Box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 t="str">
        <f>Enginuity!$A$22</f>
        <v>Top / Bottom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38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Standard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 t="str">
        <f>Enginuity!$A$22</f>
        <v>Top / Bottom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38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2" t="s">
        <v>1511</v>
      </c>
      <c r="G3" s="433"/>
      <c r="H3" s="433"/>
      <c r="I3" s="434"/>
      <c r="Q3" s="257" t="s">
        <v>1474</v>
      </c>
      <c r="R3" s="258">
        <v>25</v>
      </c>
      <c r="S3" s="268"/>
      <c r="V3" s="435" t="s">
        <v>1475</v>
      </c>
      <c r="W3" s="436"/>
      <c r="X3" s="436"/>
      <c r="Y3" s="437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2" t="s">
        <v>1510</v>
      </c>
      <c r="G7" s="433"/>
      <c r="H7" s="433"/>
      <c r="I7" s="434"/>
      <c r="Q7" s="257" t="s">
        <v>1483</v>
      </c>
      <c r="R7" s="262" t="s">
        <v>1479</v>
      </c>
      <c r="S7" s="268"/>
      <c r="V7" s="435" t="s">
        <v>1484</v>
      </c>
      <c r="W7" s="436"/>
      <c r="X7" s="436"/>
      <c r="Y7" s="437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3048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2133.6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98.060000000000016</v>
      </c>
      <c r="C27" s="361">
        <f>B27</f>
        <v>98.060000000000016</v>
      </c>
    </row>
    <row r="28" spans="1:40" x14ac:dyDescent="0.25">
      <c r="A28" s="337" t="s">
        <v>1721</v>
      </c>
      <c r="B28" s="362">
        <f>$C$47</f>
        <v>98.060000000000016</v>
      </c>
      <c r="C28" s="381">
        <f>B28</f>
        <v>98.060000000000016</v>
      </c>
    </row>
    <row r="29" spans="1:40" x14ac:dyDescent="0.25">
      <c r="A29" s="337" t="s">
        <v>1722</v>
      </c>
      <c r="B29" s="363">
        <f>ROUND($C$48,10)</f>
        <v>98.06</v>
      </c>
      <c r="C29" s="364">
        <f>B29</f>
        <v>98.06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2082.8000000000002</v>
      </c>
      <c r="C31" s="365">
        <f>B31</f>
        <v>2082.8000000000002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2133.6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2997.2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98.060000000000016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98.060000000000016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2997.2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2082.8000000000002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2133.6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2997.2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2082.8000000000002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29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2026-04-22T13:16:37Z</dcterms:modified>
</cp:coreProperties>
</file>