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F91B1941-AF95-4B9A-91D8-72B5104272F5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ount" hidden="1" xlm="1">#NAME?</definedName>
    <definedName name="_xlpm.vFrom" hidden="1" xlm="1">#NAME?</definedName>
    <definedName name="_xlpm.vHit" hidden="1" xlm="1">#NAME?</definedName>
    <definedName name="_xlpm.vitally_ok" hidden="1" xlm="1">#NAME?</definedName>
    <definedName name="_xlpm.vm" hidden="1" xlm="1">#NAME?</definedName>
    <definedName name="_xlpm.vMarks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Dropdown!$F$2:INDEX(Dropdown!$F$2:$F$40,IFERROR(MATCH(2,1/(Dropdown!$F$2:$F$40&lt;&gt;""),1),1))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21" i="38" l="1"/>
  <c r="F491" i="38"/>
  <c r="F461" i="38"/>
  <c r="F431" i="38"/>
  <c r="F401" i="38"/>
  <c r="F371" i="38"/>
  <c r="F341" i="38"/>
  <c r="G311" i="38"/>
  <c r="F311" i="38"/>
  <c r="F281" i="38"/>
  <c r="F251" i="38"/>
  <c r="F221" i="38"/>
  <c r="F191" i="38"/>
  <c r="F161" i="38"/>
  <c r="F91" i="38"/>
  <c r="F101" i="38"/>
  <c r="Q466" i="38" l="1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273" i="38" l="1" a="1"/>
  <c r="W273" i="38" s="1"/>
  <c r="W359" i="38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9" i="38" l="1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F2" i="19" l="1" a="1"/>
  <c r="F1" i="19" a="1"/>
  <c r="F1" i="19" s="1"/>
  <c r="B42" i="19" a="1"/>
  <c r="B42" i="19" s="1"/>
  <c r="B41" i="19" s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F2" i="19" l="1"/>
  <c r="B17" i="1" a="1"/>
  <c r="B17" i="1" s="1"/>
  <c r="B32" i="1" a="1"/>
  <c r="B32" i="1" s="1"/>
  <c r="B15" i="1" a="1"/>
  <c r="B15" i="1" s="1"/>
  <c r="L2" i="19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R66" i="38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Y27" i="36"/>
  <c r="AC27" i="36" s="1"/>
  <c r="Y26" i="36"/>
  <c r="AC26" i="36" s="1"/>
  <c r="W177" i="38" s="1" a="1"/>
  <c r="W177" i="38" s="1"/>
  <c r="Y25" i="36"/>
  <c r="AC25" i="36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09" i="36" l="1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K78" i="36"/>
  <c r="J79" i="36"/>
  <c r="K79" i="36"/>
  <c r="J80" i="36"/>
  <c r="K80" i="36"/>
  <c r="J81" i="36"/>
  <c r="K81" i="36"/>
  <c r="J82" i="36"/>
  <c r="K82" i="36"/>
  <c r="J83" i="36"/>
  <c r="K83" i="36"/>
  <c r="J84" i="36"/>
  <c r="K84" i="36"/>
  <c r="J85" i="36"/>
  <c r="K85" i="36"/>
  <c r="J86" i="36"/>
  <c r="K86" i="36"/>
  <c r="J87" i="36"/>
  <c r="K87" i="36"/>
  <c r="J88" i="36"/>
  <c r="K88" i="36"/>
  <c r="J1050" i="36"/>
  <c r="J89" i="36"/>
  <c r="K89" i="36"/>
  <c r="J90" i="36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161" i="38" l="1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J16" i="32" s="1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G22" i="32"/>
  <c r="K22" i="32" s="1"/>
  <c r="G15" i="32"/>
  <c r="K15" i="32" s="1"/>
  <c r="K21" i="32"/>
  <c r="K23" i="32"/>
  <c r="K13" i="32"/>
  <c r="L13" i="32" s="1"/>
  <c r="K16" i="32"/>
  <c r="K19" i="32"/>
  <c r="J22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J18" i="32" l="1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I21" i="33" l="1"/>
  <c r="G5" i="34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I5" i="34" s="1"/>
  <c r="G16" i="34"/>
  <c r="H16" i="34" s="1"/>
  <c r="B42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458" i="38" s="1"/>
  <c r="P458" i="38" s="1" a="1"/>
  <c r="P458" i="38" s="1"/>
  <c r="B6" i="1" a="1"/>
  <c r="B6" i="1" s="1"/>
  <c r="F53" i="25" l="1"/>
  <c r="F7" i="25"/>
  <c r="F8" i="25"/>
  <c r="F52" i="25"/>
  <c r="V295" i="38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427" i="38" s="1"/>
  <c r="P427" i="38" s="1" a="1"/>
  <c r="P427" i="38" s="1"/>
  <c r="V6" i="38"/>
  <c r="V9" i="38"/>
  <c r="P9" i="38" s="1"/>
  <c r="V92" i="38"/>
  <c r="P92" i="38" s="1" a="1"/>
  <c r="P92" i="38" s="1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77" i="38" l="1"/>
  <c r="P477" i="38" s="1" a="1"/>
  <c r="P477" i="38" s="1"/>
  <c r="P91" i="38" a="1"/>
  <c r="P91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113" i="38" l="1" a="1"/>
  <c r="W113" i="38" s="1"/>
  <c r="P113" i="38" s="1" a="1"/>
  <c r="P113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W112" i="38"/>
  <c r="P112" i="38" s="1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S3" i="35" l="1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<sst xmlns="http://schemas.openxmlformats.org/spreadsheetml/2006/main" count="12247" uniqueCount="2153">
  <si>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</si>
  <si>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</si>
  <si>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</si>
  <si>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</si>
  <si>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</si>
  <si>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</si>
  <si>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</si>
  <si>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</si>
  <si>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</si>
  <si>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</si>
  <si>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</si>
  <si>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</si>
  <si>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</si>
  <si>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</si>
  <si>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</si>
  <si>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</si>
  <si>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</si>
  <si>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</si>
  <si>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</si>
  <si>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</si>
  <si>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</si>
  <si>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</si>
  <si>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</si>
  <si>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</si>
  <si>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</si>
  <si>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</si>
  <si>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</si>
  <si>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</si>
  <si>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</si>
  <si>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</si>
  <si>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</si>
  <si>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</si>
  <si>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</si>
  <si>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</si>
  <si>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</si>
  <si>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</si>
  <si>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</si>
  <si>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</si>
  <si>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</si>
  <si>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</si>
  <si>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</si>
  <si>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</si>
  <si>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</si>
  <si>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</si>
  <si>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</si>
  <si>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</si>
  <si>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</si>
  <si>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</si>
  <si>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</si>
  <si>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</si>
  <si>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</si>
  <si>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</si>
  <si>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</si>
  <si>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</si>
  <si>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</si>
  <si>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</si>
  <si>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</si>
  <si>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</si>
  <si>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</si>
  <si>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</si>
  <si>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</si>
  <si>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</si>
  <si>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</si>
  <si>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</si>
  <si>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</si>
  <si>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</si>
  <si>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</si>
  <si>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</si>
  <si>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</si>
  <si>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</si>
  <si>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</si>
  <si>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</si>
  <si>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</si>
  <si>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</si>
  <si>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</si>
  <si>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</si>
  <si>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</si>
  <si>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</si>
  <si>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</si>
  <si>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</si>
  <si>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</si>
  <si>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</si>
  <si>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</si>
  <si>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</si>
  <si>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</si>
  <si>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</si>
  <si>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</si>
  <si>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</si>
  <si>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</si>
  <si>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</si>
  <si>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</si>
  <si>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</si>
  <si>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</si>
  <si>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</si>
  <si>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</si>
  <si>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</si>
  <si>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</si>
  <si>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</si>
  <si>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</si>
  <si>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</si>
  <si>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</si>
  <si>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</si>
  <si>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</si>
  <si>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</si>
  <si>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</si>
  <si>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</si>
  <si>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</si>
  <si>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</si>
  <si>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</si>
  <si>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</si>
  <si>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</si>
  <si>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</si>
  <si>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</si>
  <si>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</si>
  <si>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</si>
  <si>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</si>
  <si>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</si>
  <si>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</si>
  <si>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</si>
  <si>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</si>
  <si>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</si>
  <si>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</si>
  <si>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</si>
  <si>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</si>
  <si>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</si>
  <si>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</si>
  <si>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</si>
  <si>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</si>
  <si>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</si>
  <si>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</si>
  <si>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</si>
  <si>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</si>
  <si>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</si>
  <si>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</si>
  <si>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</si>
  <si>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</si>
  <si>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</si>
  <si>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</si>
  <si>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</si>
  <si>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</si>
  <si>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</si>
  <si>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</si>
  <si>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</si>
  <si>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</si>
  <si>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</si>
  <si>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</si>
  <si>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</si>
  <si>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</si>
  <si>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</si>
  <si>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</si>
  <si>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</si>
  <si>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</si>
  <si>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</si>
  <si>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</si>
  <si>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</si>
  <si>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</si>
  <si>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</si>
  <si>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</si>
  <si>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</si>
  <si>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</si>
  <si>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</si>
  <si>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</si>
  <si>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</si>
  <si>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</si>
  <si>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</si>
  <si>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</si>
  <si>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</si>
  <si>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</si>
  <si>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</si>
  <si>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</si>
  <si>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</si>
  <si>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</si>
  <si>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</si>
  <si>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</si>
  <si>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</si>
  <si>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</si>
  <si>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</si>
  <si>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</si>
  <si>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</si>
  <si>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</si>
  <si>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</si>
  <si>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</si>
  <si>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</si>
  <si>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</si>
  <si>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</si>
  <si>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</si>
  <si>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</si>
  <si>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</si>
  <si>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</si>
  <si>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</si>
  <si>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</si>
  <si>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</si>
  <si>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</si>
  <si>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</si>
  <si>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</si>
  <si>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</si>
  <si>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</si>
  <si>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</si>
  <si>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</si>
  <si>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</si>
  <si>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</si>
  <si>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</si>
  <si>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</si>
  <si>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</si>
  <si>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</si>
  <si>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</si>
  <si>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</si>
  <si>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</si>
  <si>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</si>
  <si>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</si>
  <si>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</si>
  <si>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</si>
  <si>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</si>
  <si>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</si>
  <si>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</si>
  <si>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</si>
  <si>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</si>
  <si>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</si>
  <si>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</si>
  <si>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</si>
  <si>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</si>
  <si>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</si>
  <si>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</si>
  <si>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</si>
  <si>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</si>
  <si>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</si>
  <si>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</si>
  <si>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</si>
  <si>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</si>
  <si>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</si>
  <si>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</si>
  <si>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</si>
  <si>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</si>
  <si>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</si>
  <si>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</si>
  <si>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</si>
  <si>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</si>
  <si>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</si>
  <si>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</si>
  <si>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</si>
  <si>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</si>
  <si>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</si>
  <si>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</si>
  <si>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</si>
  <si>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</si>
  <si>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</si>
  <si>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</si>
  <si>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</si>
  <si>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</si>
  <si>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</si>
  <si>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</si>
  <si>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</si>
  <si>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</si>
  <si>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</si>
  <si>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</si>
  <si>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</si>
  <si>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</si>
  <si>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</si>
  <si>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</si>
  <si>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</si>
  <si>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</si>
  <si>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</si>
  <si>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</si>
  <si>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</si>
  <si>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</si>
  <si>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</si>
  <si>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</si>
  <si>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</si>
  <si>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</si>
  <si>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</si>
  <si>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</si>
  <si>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</si>
  <si>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</si>
  <si>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</si>
  <si>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</si>
  <si>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</si>
  <si>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</si>
  <si>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</si>
  <si>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</si>
  <si>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</si>
  <si>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</si>
  <si>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</si>
  <si>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</si>
  <si>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</si>
  <si>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</si>
  <si>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</si>
  <si>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</si>
  <si>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</si>
  <si>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</si>
  <si>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</si>
  <si>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</si>
  <si>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</si>
  <si>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</si>
  <si>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</si>
  <si>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</si>
  <si>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</si>
  <si>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</si>
  <si>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</si>
  <si>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</si>
  <si>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</si>
  <si>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</si>
  <si>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</si>
  <si>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</si>
  <si>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</si>
  <si>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</si>
  <si>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</si>
  <si>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</si>
  <si>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</si>
  <si>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</si>
  <si>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</si>
  <si>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</si>
  <si>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</si>
  <si>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</si>
  <si>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</si>
  <si>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</si>
  <si>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</si>
  <si>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</si>
  <si>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</si>
  <si>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</si>
  <si>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</si>
  <si>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</si>
  <si>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</si>
  <si>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</si>
  <si>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</si>
  <si>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</si>
  <si>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</si>
  <si>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</si>
  <si>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</si>
  <si>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</si>
  <si>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</si>
  <si>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</si>
  <si>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</si>
  <si>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</si>
  <si>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</si>
  <si>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</si>
  <si>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</si>
  <si>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</si>
  <si>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</si>
  <si>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</si>
  <si>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</si>
  <si>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</si>
  <si>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</si>
  <si>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</si>
  <si>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</si>
  <si>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</si>
  <si>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</si>
  <si>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</si>
  <si>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</si>
  <si>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</si>
  <si>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</si>
  <si>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</si>
  <si>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</si>
  <si>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</si>
  <si>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</si>
  <si>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</si>
  <si>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</si>
  <si>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</si>
  <si>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</si>
  <si>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</si>
  <si>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</si>
  <si>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</si>
  <si>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</si>
  <si>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</si>
  <si>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</si>
  <si>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</si>
  <si>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</si>
  <si>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</si>
  <si>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</si>
  <si>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</si>
  <si>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</si>
  <si>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</si>
  <si>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</si>
  <si>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</si>
  <si>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</si>
  <si>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</si>
  <si>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</si>
  <si>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</si>
  <si>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</si>
  <si>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</si>
  <si>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</si>
  <si>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</si>
  <si>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</si>
  <si>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</si>
  <si>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</si>
  <si>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</si>
  <si>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</si>
  <si>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</si>
  <si>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</si>
  <si>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</si>
  <si>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</si>
  <si>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</si>
  <si>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</si>
  <si>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</si>
  <si>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</si>
  <si>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</si>
  <si>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</si>
  <si>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</si>
  <si>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</si>
  <si>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</si>
  <si>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</si>
  <si>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</si>
  <si>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</si>
  <si>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</si>
  <si>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</si>
  <si>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</si>
  <si>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</si>
  <si>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</si>
  <si>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</si>
  <si>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</si>
  <si>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</si>
  <si>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</si>
  <si>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</si>
  <si>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</si>
  <si>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</si>
  <si>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</si>
  <si>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</si>
  <si>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</si>
  <si>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</si>
  <si>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</si>
  <si>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</si>
  <si>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</si>
  <si>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</si>
  <si>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</si>
  <si>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</si>
  <si>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</si>
  <si>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</si>
  <si>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</si>
  <si>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</si>
  <si>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</si>
  <si>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</si>
  <si>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</si>
  <si>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</si>
  <si>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</si>
  <si>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</si>
  <si>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</si>
  <si>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</si>
  <si>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</si>
  <si>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</si>
  <si>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</si>
  <si>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</si>
  <si>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</si>
  <si>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</si>
  <si>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</si>
  <si>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</si>
  <si>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</si>
  <si>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</si>
  <si>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</si>
  <si>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</si>
  <si>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</si>
  <si>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</si>
  <si>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</si>
  <si>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</si>
  <si>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</si>
  <si>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</si>
  <si>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</si>
  <si>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</si>
  <si>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</si>
  <si>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</si>
  <si>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</si>
  <si>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</si>
  <si>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</si>
  <si>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</si>
  <si>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</si>
  <si>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</si>
  <si>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</si>
  <si>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</si>
  <si>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</si>
  <si>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</si>
  <si>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</si>
  <si>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</si>
  <si>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</si>
  <si>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</si>
  <si>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</si>
  <si>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</si>
  <si>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</si>
  <si>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</si>
  <si>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</si>
  <si>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</si>
  <si>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</si>
  <si>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</si>
  <si>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</si>
  <si>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</si>
  <si>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</si>
  <si>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</si>
  <si>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</si>
  <si>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</si>
  <si>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</si>
  <si>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</si>
  <si>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</si>
  <si>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</si>
  <si>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</si>
  <si>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</si>
  <si>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</si>
  <si>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</si>
  <si>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</si>
  <si>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</si>
  <si>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</si>
  <si>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</si>
  <si>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</si>
  <si>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</si>
  <si>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</si>
  <si>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</si>
  <si>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</si>
  <si>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</si>
  <si>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</si>
  <si>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</si>
  <si>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</si>
  <si>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</si>
  <si>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</si>
  <si>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</si>
  <si>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</si>
  <si>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</si>
  <si>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</si>
  <si>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</si>
  <si>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</si>
  <si>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</si>
  <si>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</si>
  <si>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</si>
  <si>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</si>
  <si>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</si>
  <si>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</si>
  <si>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</si>
  <si>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</si>
  <si>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</si>
  <si>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</si>
  <si>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</si>
  <si>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</si>
  <si>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</si>
  <si>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</si>
  <si>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</si>
  <si>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</si>
  <si>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</si>
  <si>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</si>
  <si>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</si>
  <si>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</si>
  <si>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</si>
  <si>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</si>
  <si>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</si>
  <si>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</si>
  <si>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</si>
  <si>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</si>
  <si>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</si>
  <si>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</si>
  <si>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</si>
  <si>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</si>
  <si>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</si>
  <si>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</si>
  <si>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</si>
  <si>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</si>
  <si>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</si>
  <si>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</si>
  <si>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</si>
  <si>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</si>
  <si>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</si>
  <si>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</si>
  <si>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</si>
  <si>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</si>
  <si>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</si>
  <si>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</si>
  <si>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</si>
  <si>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</si>
  <si>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</si>
  <si>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</si>
  <si>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</si>
  <si>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</si>
  <si>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</si>
  <si>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</si>
  <si>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</si>
  <si>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</si>
  <si>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</si>
  <si>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</si>
  <si>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</si>
  <si>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</si>
  <si>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</si>
  <si>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</si>
  <si>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</si>
  <si>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</si>
  <si>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</si>
  <si>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</si>
  <si>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</si>
  <si>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</si>
  <si>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</si>
  <si>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</si>
  <si>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</si>
  <si>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</si>
  <si>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</si>
  <si>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</si>
  <si>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</si>
  <si>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</si>
  <si>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</si>
  <si>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</si>
  <si>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</si>
  <si>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</si>
  <si>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</si>
  <si>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</si>
  <si>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</si>
  <si>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</si>
  <si>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</si>
  <si>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</si>
  <si>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</si>
  <si>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</si>
  <si>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</si>
  <si>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</si>
  <si>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</si>
  <si>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</si>
  <si>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</si>
  <si>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</si>
  <si>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</si>
  <si>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</si>
  <si>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</si>
  <si>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</si>
  <si>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</si>
  <si>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</si>
  <si>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</si>
  <si>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</si>
  <si>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</si>
  <si>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</si>
  <si>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</si>
  <si>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</si>
  <si>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</si>
  <si>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</si>
  <si>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</si>
  <si>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</si>
  <si>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</si>
  <si>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</si>
  <si>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</si>
  <si>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</si>
  <si>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</si>
  <si>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</si>
  <si>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</si>
  <si>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</si>
  <si>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</si>
  <si>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</si>
  <si>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</si>
  <si>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</si>
  <si>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</si>
  <si>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</si>
  <si>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</si>
  <si>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</si>
  <si>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</si>
  <si>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</si>
  <si>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</si>
  <si>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</si>
  <si>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</si>
  <si>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</si>
  <si>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</si>
  <si>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</si>
  <si>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</si>
  <si>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</si>
  <si>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</si>
  <si>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</si>
  <si>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</si>
  <si>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</si>
  <si>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</si>
  <si>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</si>
  <si>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</si>
  <si>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</si>
  <si>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</si>
  <si>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</si>
  <si>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</si>
  <si>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</si>
  <si>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</si>
  <si>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</si>
  <si>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</si>
  <si>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</si>
  <si>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</si>
  <si>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</si>
  <si>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</si>
  <si>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</si>
  <si>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</si>
  <si>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</si>
  <si>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</si>
  <si>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</si>
  <si>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</si>
  <si>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</si>
  <si>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</si>
  <si>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</si>
  <si>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</si>
  <si>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</si>
  <si>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</si>
  <si>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</si>
  <si>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</si>
  <si>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</si>
  <si>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</si>
  <si>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</si>
  <si>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</si>
  <si>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</si>
  <si>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</si>
  <si>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</si>
  <si>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</si>
  <si>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</si>
  <si>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</si>
  <si>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</si>
  <si>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</si>
  <si>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</si>
  <si>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</si>
  <si>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</si>
  <si>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</si>
  <si>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</si>
  <si>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</si>
  <si>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</si>
  <si>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</si>
  <si>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</si>
  <si>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</si>
  <si>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</si>
  <si>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</si>
  <si>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</si>
  <si>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</si>
  <si>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</si>
  <si>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</si>
  <si>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</si>
  <si>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</si>
  <si>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</si>
  <si>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</si>
  <si>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</si>
  <si>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</si>
  <si>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</si>
  <si>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</si>
  <si>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</si>
  <si>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</si>
  <si>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</si>
  <si>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</si>
  <si>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</si>
  <si>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</si>
  <si>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</si>
  <si>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</si>
  <si>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</si>
  <si>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</si>
  <si>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</si>
  <si>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</si>
  <si>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</si>
  <si>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</si>
  <si>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</si>
  <si>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</si>
  <si>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</si>
  <si>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</si>
  <si>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</si>
  <si>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</si>
  <si>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</si>
  <si>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</si>
  <si>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</si>
  <si>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</si>
  <si>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</si>
  <si>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</si>
  <si>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</si>
  <si>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</si>
  <si>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</si>
  <si>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</si>
  <si>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</si>
  <si>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</si>
  <si>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</si>
  <si>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</si>
  <si>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</si>
  <si>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</si>
  <si>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</si>
  <si>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</si>
  <si>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</si>
  <si>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</si>
  <si>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</si>
  <si>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</si>
  <si>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</si>
  <si>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</si>
  <si>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</si>
  <si>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</si>
  <si>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</si>
  <si>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</si>
  <si>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</si>
  <si>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</si>
  <si>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</si>
  <si>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</si>
  <si>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</si>
  <si>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</si>
  <si>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</si>
  <si>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</si>
  <si>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</si>
  <si>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</si>
  <si>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</si>
  <si>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</si>
  <si>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</si>
  <si>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</si>
  <si>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</si>
  <si>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</si>
  <si>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</si>
  <si>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</si>
  <si>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</si>
  <si>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</si>
  <si>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</si>
  <si>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</si>
  <si>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</si>
  <si>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</si>
  <si>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</si>
  <si>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</si>
  <si>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</si>
  <si>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</si>
  <si>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</si>
  <si>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</si>
  <si>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</si>
  <si>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</si>
  <si>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</si>
  <si>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</si>
  <si>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</si>
  <si>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</si>
  <si>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</si>
  <si>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</si>
  <si>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</si>
  <si>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</si>
  <si>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</si>
  <si>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</si>
  <si>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</si>
  <si>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</si>
  <si>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</si>
  <si>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</si>
  <si>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</si>
  <si>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</si>
  <si>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</si>
  <si>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</si>
  <si>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</si>
  <si>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</si>
  <si>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</si>
  <si>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</si>
  <si>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</si>
  <si>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</si>
  <si>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</si>
  <si>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</si>
  <si>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</si>
  <si>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</si>
  <si>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</si>
  <si>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</si>
  <si>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</si>
  <si>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</si>
  <si>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</si>
  <si>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</si>
  <si>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</si>
  <si>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</si>
  <si>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</si>
  <si>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</si>
  <si>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</si>
  <si>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</si>
  <si>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</si>
  <si>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</si>
  <si>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</si>
  <si>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</si>
  <si>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</si>
  <si>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</si>
  <si>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</si>
  <si>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</si>
  <si>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</si>
  <si>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</si>
  <si>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</si>
  <si>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</si>
  <si>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</si>
  <si>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</si>
  <si>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</si>
  <si>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</si>
  <si>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</si>
  <si>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</si>
  <si>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</si>
  <si>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</si>
  <si>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</si>
  <si>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</si>
  <si>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</si>
  <si>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</si>
  <si>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</si>
  <si>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</si>
  <si>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</si>
  <si>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</si>
  <si>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</si>
  <si>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</si>
  <si>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</si>
  <si>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</si>
  <si>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</si>
  <si>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</si>
  <si>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</si>
  <si>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</si>
  <si>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</si>
  <si>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</si>
  <si>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</si>
  <si>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</si>
  <si>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</si>
  <si>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</si>
  <si>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</si>
  <si>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</si>
  <si>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</si>
  <si>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</si>
  <si>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</si>
  <si>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</si>
  <si>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</si>
  <si>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</si>
  <si>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</si>
  <si>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</si>
  <si>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</si>
  <si>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</si>
  <si>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</si>
  <si>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</si>
  <si>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</si>
  <si>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</si>
  <si>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</si>
  <si>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</si>
  <si>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</si>
  <si>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</si>
  <si>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</si>
  <si>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</si>
  <si>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</si>
  <si>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</si>
  <si>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</si>
  <si>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</si>
  <si>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</si>
  <si>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</si>
  <si>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</si>
  <si>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</si>
  <si>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</si>
  <si>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</si>
  <si>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</si>
  <si>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</si>
  <si>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</si>
  <si>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</si>
  <si>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</si>
  <si>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</si>
  <si>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</si>
  <si>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</si>
  <si>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</si>
  <si>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</si>
  <si>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</si>
  <si>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</si>
  <si>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</si>
  <si>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</si>
  <si>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</si>
  <si>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</si>
  <si>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</si>
  <si>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</si>
  <si>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</si>
  <si>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</si>
  <si>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</si>
  <si>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</si>
  <si>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</si>
  <si>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</si>
  <si>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</si>
  <si>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</si>
  <si>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</si>
  <si>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</si>
  <si>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</si>
  <si>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</si>
  <si>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</si>
  <si>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</si>
  <si>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</si>
  <si>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</si>
  <si>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</si>
  <si>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</si>
  <si>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</si>
  <si>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</si>
  <si>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</si>
  <si>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</si>
  <si>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</si>
  <si>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</si>
  <si>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</si>
  <si>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</si>
  <si>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</si>
  <si>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</si>
  <si>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</si>
  <si>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</si>
  <si>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</si>
  <si>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</si>
  <si>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</si>
  <si>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</si>
  <si>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</si>
  <si>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</si>
  <si>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</si>
  <si>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</si>
  <si>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</si>
  <si>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</si>
  <si>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</si>
  <si>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</si>
  <si>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</si>
  <si>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</si>
  <si>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</si>
  <si>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</si>
  <si>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</si>
  <si>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</si>
  <si>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</si>
  <si>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</si>
  <si>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</si>
  <si>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</si>
  <si>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</si>
  <si>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</si>
  <si>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</si>
  <si>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</si>
  <si>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</si>
  <si>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</si>
  <si>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</si>
  <si>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</si>
  <si>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</si>
  <si>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</si>
  <si>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</si>
  <si>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</si>
  <si>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</si>
  <si>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</si>
  <si>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</si>
  <si>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</si>
  <si>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</si>
  <si>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</si>
  <si>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</si>
  <si>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</si>
  <si>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</si>
  <si>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</si>
  <si>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</si>
  <si>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</si>
  <si>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</si>
  <si>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</si>
  <si>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</si>
  <si>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</si>
  <si>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</si>
  <si>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</si>
  <si>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</si>
  <si>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</si>
  <si>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</si>
  <si>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</si>
  <si>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</si>
  <si>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</si>
  <si>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</si>
  <si>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</si>
  <si>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</si>
  <si>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</si>
  <si>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</si>
  <si>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</si>
  <si>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</si>
  <si>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</si>
  <si>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</si>
  <si>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</si>
  <si>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</si>
  <si>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</si>
  <si>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</si>
  <si>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</si>
  <si>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</si>
  <si>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</si>
  <si>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</si>
  <si>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</si>
  <si>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</si>
  <si>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</si>
  <si>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</si>
  <si>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</si>
  <si>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</si>
  <si>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</si>
  <si>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</si>
  <si>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</si>
  <si>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</si>
  <si>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</si>
  <si>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</si>
  <si>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</si>
  <si>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</si>
  <si>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</si>
  <si>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</si>
  <si>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</si>
  <si>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</si>
  <si>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</si>
  <si>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</si>
  <si>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</si>
  <si>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</si>
  <si>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</si>
  <si>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</si>
  <si>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</si>
  <si>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</si>
  <si>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</si>
  <si>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</si>
  <si>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</si>
  <si>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</si>
  <si>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</si>
  <si>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</si>
  <si>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</si>
  <si>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</si>
  <si>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</si>
  <si>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</si>
  <si>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</si>
  <si>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</si>
  <si>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</si>
  <si>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</si>
  <si>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</si>
  <si>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</si>
  <si>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</si>
  <si>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</si>
  <si>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</si>
  <si>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</si>
  <si>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</si>
  <si>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</si>
  <si>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</si>
  <si>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</si>
  <si>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</si>
  <si>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</si>
  <si>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</si>
  <si>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</si>
  <si>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</si>
  <si>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</si>
  <si>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</si>
  <si>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</si>
  <si>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</si>
  <si>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</si>
  <si>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</si>
  <si>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</si>
  <si>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</si>
  <si>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</si>
  <si>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</si>
  <si>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</si>
  <si>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</si>
  <si>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</si>
  <si>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</si>
  <si>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</si>
  <si>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</si>
  <si>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</si>
  <si>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</si>
  <si>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</si>
  <si>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</si>
  <si>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</si>
  <si>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</si>
  <si>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</si>
  <si>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</si>
  <si>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</si>
  <si>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</si>
  <si>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</si>
  <si>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</si>
  <si>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</si>
  <si>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</si>
  <si>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</si>
  <si>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</si>
  <si>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</si>
  <si>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</si>
  <si>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</si>
  <si>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</si>
  <si>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</si>
  <si>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</si>
  <si>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</si>
  <si>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</si>
  <si>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</si>
  <si>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</si>
  <si>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</si>
  <si>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</si>
  <si>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</si>
  <si>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</si>
  <si>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</si>
  <si>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</si>
  <si>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</si>
  <si>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</si>
  <si>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</si>
  <si>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</si>
  <si>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</si>
  <si>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</si>
  <si>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</si>
  <si>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</si>
  <si>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</si>
  <si>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</si>
  <si>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</si>
  <si>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</si>
  <si>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</si>
  <si>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</si>
  <si>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</si>
  <si>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</si>
  <si>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</si>
  <si>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</si>
  <si>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</si>
  <si>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</si>
  <si>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</si>
  <si>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</si>
  <si>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</si>
  <si>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</si>
  <si>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</si>
  <si>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</si>
  <si>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</si>
  <si>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</si>
  <si>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</si>
  <si>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</si>
  <si>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</si>
  <si>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</si>
  <si>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</si>
  <si>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</si>
  <si>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</si>
  <si>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</si>
  <si>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</si>
  <si>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</si>
  <si>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</si>
  <si>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</si>
  <si>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</si>
  <si>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</si>
  <si>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</si>
  <si>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</si>
  <si>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</si>
  <si>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</si>
  <si>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</si>
  <si>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</si>
  <si>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</si>
  <si>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</si>
  <si>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</si>
  <si>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</si>
  <si>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</si>
  <si>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</si>
  <si>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</si>
  <si>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</si>
  <si>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</si>
  <si>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</si>
  <si>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</si>
  <si>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</si>
  <si>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</si>
  <si>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</si>
  <si>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</si>
  <si>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</si>
  <si>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</si>
  <si>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</si>
  <si>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</si>
  <si>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</si>
  <si>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</si>
  <si>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</si>
  <si>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</si>
  <si>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</si>
  <si>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</si>
  <si>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</si>
  <si>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</si>
  <si>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</si>
  <si>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</si>
  <si>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</si>
  <si>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</si>
  <si>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</si>
  <si>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</si>
  <si>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</si>
  <si>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</si>
  <si>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</si>
  <si>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</si>
  <si>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</si>
  <si>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</si>
  <si>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</si>
  <si>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</si>
  <si>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</si>
  <si>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</si>
  <si>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</si>
  <si>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</si>
  <si>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</si>
  <si>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</si>
  <si>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</si>
  <si>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</si>
  <si>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</si>
  <si>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</si>
  <si>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</si>
  <si>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</si>
  <si>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</si>
  <si>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</si>
  <si>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</si>
  <si>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</si>
  <si>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</si>
  <si>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</si>
  <si>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</si>
  <si>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</si>
  <si>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</si>
  <si>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</si>
  <si>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</si>
  <si>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</si>
  <si>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</si>
  <si>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</si>
  <si>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</si>
  <si>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</si>
  <si>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</si>
  <si>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</si>
  <si>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</si>
  <si>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</si>
  <si>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</si>
  <si>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</si>
  <si>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</si>
  <si>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</si>
  <si>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</si>
  <si>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</si>
  <si>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</si>
  <si>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</si>
  <si>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</si>
  <si>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</si>
  <si>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</si>
  <si>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</si>
  <si>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</si>
  <si>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</si>
  <si>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</si>
  <si>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</si>
  <si>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</si>
  <si>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</si>
  <si>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</si>
  <si>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</si>
  <si>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</si>
  <si>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</si>
  <si>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</si>
  <si>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</si>
  <si>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</si>
  <si>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</si>
  <si>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</si>
  <si>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</si>
  <si>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</si>
  <si>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</si>
  <si>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</si>
  <si>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</si>
  <si>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</si>
  <si>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</si>
  <si>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</si>
  <si>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</si>
  <si>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</si>
  <si>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</si>
  <si>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</si>
  <si>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</si>
  <si>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</si>
  <si>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</si>
  <si>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</si>
  <si>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</si>
  <si>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</si>
  <si>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</si>
  <si>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</si>
  <si>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</si>
  <si>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</si>
  <si>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</si>
  <si>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</si>
  <si>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</si>
  <si>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</si>
  <si>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</si>
  <si>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</si>
  <si>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</si>
  <si>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</si>
  <si>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</si>
  <si>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</si>
  <si>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</si>
  <si>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</si>
  <si>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</si>
  <si>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</si>
  <si>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</si>
  <si>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</si>
  <si>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</si>
  <si>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</si>
  <si>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</si>
  <si>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</si>
  <si>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</si>
  <si>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</si>
  <si>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</si>
  <si>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</si>
  <si>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</si>
  <si>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</si>
  <si>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</si>
  <si>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</si>
  <si>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</si>
  <si>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</si>
  <si>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</si>
  <si>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</si>
  <si>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</si>
  <si>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</si>
  <si>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</si>
  <si>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</si>
  <si>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</si>
  <si>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</si>
  <si>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</si>
  <si>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</si>
  <si>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</si>
  <si>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</si>
  <si>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</si>
  <si>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</si>
  <si>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</si>
  <si>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</si>
  <si>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</si>
  <si>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</si>
  <si>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</si>
  <si>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</si>
  <si>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</si>
  <si>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</si>
  <si>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</si>
  <si>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</si>
  <si>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</si>
  <si>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</si>
  <si>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</si>
  <si>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</si>
  <si>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</si>
  <si>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</si>
  <si>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</si>
  <si>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</si>
  <si>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</si>
  <si>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</si>
  <si>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</si>
  <si>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</si>
  <si>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</si>
  <si>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</si>
  <si>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</si>
  <si>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</si>
  <si>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</si>
  <si>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</si>
  <si>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</si>
  <si>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</si>
  <si>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</si>
  <si>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</si>
  <si>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</si>
  <si>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</si>
  <si>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</si>
  <si>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</si>
  <si>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</si>
  <si>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</si>
  <si>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</si>
  <si>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</si>
  <si>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</si>
  <si>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</si>
  <si>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</si>
  <si>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</si>
  <si>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</si>
  <si>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</si>
  <si>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</si>
  <si>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</si>
  <si>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</si>
  <si>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</si>
  <si>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</si>
  <si>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</si>
  <si>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</si>
  <si>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</si>
  <si>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</si>
  <si>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</si>
  <si>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</si>
  <si>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</si>
  <si>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</si>
  <si>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</si>
  <si>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</si>
  <si>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</si>
  <si>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</si>
  <si>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</si>
  <si>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</si>
  <si>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</si>
  <si>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</si>
  <si>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</si>
  <si>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</si>
  <si>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</si>
  <si>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</si>
  <si>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</si>
  <si>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</si>
  <si>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</si>
  <si>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</si>
  <si>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</si>
  <si>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</si>
  <si>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</si>
  <si>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</si>
  <si>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</si>
  <si>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</si>
  <si>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</si>
  <si>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</si>
  <si>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</si>
  <si>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</si>
  <si>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</si>
  <si>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</si>
  <si>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</si>
  <si>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</si>
  <si>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</si>
  <si>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</si>
  <si>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</si>
  <si>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</si>
  <si>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</si>
  <si>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</si>
  <si>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</si>
  <si>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</si>
  <si>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</si>
  <si>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</si>
  <si>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</si>
  <si>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</si>
  <si>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</si>
  <si>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</si>
  <si>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</si>
  <si>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</si>
  <si>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</si>
  <si>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</si>
  <si>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</si>
  <si>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</si>
  <si>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</si>
  <si>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</si>
  <si>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</si>
  <si>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</si>
  <si>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</si>
  <si>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</si>
  <si>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</si>
  <si>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</si>
  <si>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</si>
  <si>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</si>
  <si>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</si>
  <si>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</si>
  <si>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</si>
  <si>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</si>
  <si>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</si>
  <si>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</si>
  <si>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</si>
  <si>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</si>
  <si>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</si>
  <si>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</si>
  <si>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</si>
  <si>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</si>
  <si>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</si>
  <si>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</si>
  <si>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</si>
  <si>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</si>
  <si>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</si>
  <si>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</si>
  <si>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</si>
  <si>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</si>
  <si>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</si>
  <si>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</si>
  <si>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</si>
  <si>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</si>
  <si>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</si>
  <si>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</si>
  <si>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</si>
  <si>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</si>
  <si>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</si>
  <si>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</si>
  <si>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</si>
  <si>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</si>
  <si>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</si>
  <si>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</si>
  <si>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</si>
  <si>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</si>
  <si>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</si>
  <si>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</si>
  <si>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</si>
  <si>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</si>
  <si>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</si>
  <si>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</si>
  <si>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</si>
  <si>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</si>
  <si>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</si>
  <si>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</si>
  <si>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</si>
  <si>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</si>
  <si>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</si>
  <si>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</si>
  <si>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</si>
  <si>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</si>
  <si>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</si>
  <si>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</si>
  <si>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</si>
  <si>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</si>
  <si>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</si>
  <si>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</si>
  <si>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</si>
  <si>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</si>
  <si>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</si>
  <si>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</si>
  <si>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</si>
  <si>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</si>
  <si>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</si>
  <si>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</si>
  <si>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</si>
  <si>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</si>
  <si>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</si>
  <si>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</si>
  <si>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</si>
  <si>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</si>
  <si>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</si>
  <si>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</si>
  <si>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</si>
  <si>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</si>
  <si>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</si>
  <si>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</si>
  <si>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</si>
  <si>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</si>
  <si>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</si>
  <si>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</si>
  <si>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</si>
  <si>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</si>
  <si>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</si>
  <si>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</si>
  <si>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</si>
  <si>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</si>
  <si>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</si>
  <si>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</si>
  <si>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</si>
  <si>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</si>
  <si>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</si>
  <si>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</si>
  <si>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</si>
  <si>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</si>
  <si>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</si>
  <si>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</si>
  <si>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</si>
  <si>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</si>
  <si>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</si>
  <si>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</si>
  <si>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</si>
  <si>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</si>
  <si>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</si>
  <si>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</si>
  <si>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</si>
  <si>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</si>
  <si>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</si>
  <si>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</si>
  <si>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</si>
  <si>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</si>
  <si>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</si>
  <si>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</si>
  <si>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</si>
  <si>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</si>
  <si>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</si>
  <si>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</si>
  <si>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</si>
  <si>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</si>
  <si>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</si>
  <si>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</si>
  <si>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</si>
  <si>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</si>
  <si>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</si>
  <si>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</si>
  <si>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</si>
  <si>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</si>
  <si>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</si>
  <si>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</si>
  <si>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</si>
  <si>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</si>
  <si>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</si>
  <si>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</si>
  <si>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</si>
  <si>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</si>
  <si>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</si>
  <si>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</si>
  <si>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</si>
  <si>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</si>
  <si>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</si>
  <si>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</si>
  <si>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</si>
  <si>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</si>
  <si>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</si>
  <si>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</si>
  <si>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</si>
  <si>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</si>
  <si>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</si>
  <si>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</si>
  <si>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</si>
  <si>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</si>
  <si>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</si>
  <si>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</si>
  <si>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</si>
  <si>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</si>
  <si>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</si>
  <si>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</si>
  <si>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</si>
  <si>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</si>
  <si>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</si>
  <si>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</si>
  <si>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</si>
  <si>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</si>
  <si>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</si>
  <si>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</si>
  <si>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</si>
  <si>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</si>
  <si>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</si>
  <si>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</si>
  <si>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</si>
  <si>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</si>
  <si>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</si>
  <si>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</si>
  <si>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</si>
  <si>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</si>
  <si>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</si>
  <si>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</si>
  <si>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</si>
  <si>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</si>
  <si>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</si>
  <si>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</si>
  <si>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</si>
  <si>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</si>
  <si>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</si>
  <si>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</si>
  <si>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</si>
  <si>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</si>
  <si>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</si>
  <si>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</si>
  <si>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</si>
  <si>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</si>
  <si>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</si>
  <si>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</si>
  <si>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</si>
  <si>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</si>
  <si>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</si>
  <si>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</si>
  <si>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</si>
  <si>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</si>
  <si>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</si>
  <si>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</si>
  <si>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</si>
  <si>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</si>
  <si>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</si>
  <si>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</si>
  <si>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</si>
  <si>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</si>
  <si>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</si>
  <si>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</si>
  <si>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</si>
  <si>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</si>
  <si>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</si>
  <si>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</si>
  <si>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</si>
  <si>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</si>
  <si>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</si>
  <si>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</si>
  <si>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</si>
  <si>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</si>
  <si>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</si>
  <si>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</si>
  <si>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</si>
  <si>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</si>
  <si>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</si>
  <si>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</si>
  <si>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</si>
  <si>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</si>
  <si>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</si>
  <si>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</si>
  <si>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</si>
  <si>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</si>
  <si>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</si>
  <si>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</si>
  <si>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</si>
  <si>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</si>
  <si>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</si>
  <si>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</si>
  <si>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</si>
  <si>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</si>
  <si>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</si>
  <si>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</si>
  <si>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</si>
  <si>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</si>
  <si>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</si>
  <si>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</si>
  <si>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</si>
  <si>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</si>
  <si>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</si>
  <si>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</si>
  <si>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</si>
  <si>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</si>
  <si>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</si>
  <si>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</si>
  <si>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</si>
  <si>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</si>
  <si>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</si>
  <si>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</si>
  <si>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</si>
  <si>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</si>
  <si>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</si>
  <si>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</si>
  <si>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</si>
  <si>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</si>
  <si>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</si>
  <si>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</si>
  <si>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</si>
  <si>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</si>
  <si>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</si>
  <si>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</si>
  <si>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</si>
  <si>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</si>
  <si>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</si>
  <si>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</si>
  <si>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</si>
  <si>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</si>
  <si>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</si>
  <si>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</si>
  <si>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</si>
  <si>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</si>
  <si>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</si>
  <si>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</si>
  <si>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</si>
  <si>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</si>
  <si>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</si>
  <si>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</si>
  <si>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</si>
  <si>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</si>
  <si>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</si>
  <si>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</si>
  <si>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</si>
  <si>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</si>
  <si>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</si>
  <si>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</si>
  <si>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</si>
  <si>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</si>
  <si>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</si>
  <si>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</si>
  <si>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</si>
  <si>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</si>
  <si>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</si>
  <si>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</si>
  <si>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</si>
  <si>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</si>
  <si>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</si>
  <si>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</si>
  <si>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</si>
  <si>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</si>
  <si>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</si>
  <si>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</si>
  <si>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</si>
  <si>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</si>
  <si>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</si>
  <si>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</si>
  <si>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</si>
  <si>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</si>
  <si>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</si>
  <si>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</si>
  <si>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</si>
  <si>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</si>
  <si>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</si>
  <si>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</si>
  <si>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</si>
  <si>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</si>
  <si>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</si>
  <si>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</si>
  <si>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</si>
  <si>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</si>
  <si>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</si>
  <si>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</si>
  <si>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</si>
  <si>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</si>
  <si>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</si>
  <si>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</si>
  <si>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</si>
  <si>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</si>
  <si>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</si>
  <si>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</si>
  <si>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</si>
  <si>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</si>
  <si>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</si>
  <si>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</si>
  <si>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</si>
  <si>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</si>
  <si>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</si>
  <si>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</si>
  <si>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</si>
  <si>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</si>
  <si>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</si>
  <si>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</si>
  <si>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</si>
  <si>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</si>
  <si>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</si>
  <si>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</si>
  <si>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</si>
  <si>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</si>
  <si>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</si>
  <si>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</si>
  <si>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</si>
  <si>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</si>
  <si>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</si>
  <si>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</si>
  <si>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</si>
  <si>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</si>
  <si>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</si>
  <si>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</si>
  <si>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</si>
  <si>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</si>
  <si>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</si>
  <si>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</si>
  <si>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</si>
  <si>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</si>
  <si>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</si>
  <si>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</si>
  <si>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</si>
  <si>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</si>
  <si>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</si>
  <si>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</si>
  <si>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</si>
  <si>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</si>
  <si>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</si>
  <si>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</si>
  <si>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</si>
  <si>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</si>
  <si>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</si>
  <si>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</si>
  <si>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</si>
  <si>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</si>
  <si>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</si>
  <si>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</si>
  <si>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</si>
  <si>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</si>
  <si>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</si>
  <si>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</si>
  <si>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</si>
  <si>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</si>
  <si>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</si>
  <si>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</si>
  <si>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</si>
  <si>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</si>
  <si>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</si>
  <si>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</si>
  <si>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</si>
  <si>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</si>
  <si>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</si>
  <si>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</si>
  <si>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</si>
  <si>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</si>
  <si>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</si>
  <si>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</si>
  <si>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</si>
  <si>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</si>
  <si>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</si>
  <si>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</si>
  <si>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</si>
  <si>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</si>
  <si>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</si>
  <si>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</si>
  <si>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</si>
  <si>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</si>
  <si>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</si>
  <si>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</si>
  <si>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</si>
  <si>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</si>
  <si>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</si>
  <si>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</si>
  <si>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</si>
  <si>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</si>
  <si>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</si>
  <si>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</si>
  <si>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</si>
  <si>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</si>
  <si>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</si>
  <si>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</si>
  <si>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</si>
  <si>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</si>
  <si>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</si>
  <si>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</si>
  <si>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</si>
  <si>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</si>
  <si>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</si>
  <si>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</si>
  <si>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</si>
  <si>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</si>
  <si>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</si>
  <si>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</si>
  <si>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</si>
  <si>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</si>
  <si>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</si>
  <si>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</si>
  <si>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</si>
  <si>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</si>
  <si>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</si>
  <si>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</si>
  <si>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</si>
  <si>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</si>
  <si>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</si>
  <si>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</si>
  <si>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</si>
  <si>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</si>
  <si>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</si>
  <si>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</si>
  <si>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</si>
  <si>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</si>
  <si>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</si>
  <si>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</si>
  <si>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</si>
  <si>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</si>
  <si>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</si>
  <si>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</si>
  <si>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</si>
  <si>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</si>
  <si>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</si>
  <si>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</si>
  <si>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</si>
  <si>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</si>
  <si>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</si>
  <si>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</si>
  <si>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</si>
  <si>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</si>
  <si>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</si>
  <si>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</si>
  <si>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</si>
  <si>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</si>
  <si>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</si>
  <si>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</si>
  <si>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</si>
  <si>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</si>
  <si>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</si>
  <si>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</si>
  <si>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</si>
  <si>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</si>
  <si>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</si>
  <si>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</si>
  <si>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</si>
  <si>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</si>
  <si>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</si>
  <si>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</si>
  <si>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</si>
  <si>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</si>
  <si>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</si>
  <si>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</si>
  <si>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</si>
  <si>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</si>
  <si>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</si>
  <si>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</si>
  <si>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</si>
  <si>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</si>
  <si>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</si>
  <si>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</si>
  <si>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</si>
  <si>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</si>
  <si>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</si>
  <si>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</si>
  <si>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</si>
  <si>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</si>
  <si>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</si>
  <si>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</si>
  <si>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</si>
  <si>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</si>
  <si>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</si>
  <si>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</si>
  <si>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</si>
  <si>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</si>
  <si>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</si>
  <si>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</si>
  <si>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</si>
  <si>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</si>
  <si>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</si>
  <si>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</si>
  <si>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</si>
  <si>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</si>
  <si>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</si>
  <si>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</si>
  <si>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</si>
  <si>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</si>
  <si>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</si>
  <si>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</si>
  <si>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</si>
  <si>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</si>
  <si>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</si>
  <si>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</si>
  <si>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</si>
  <si>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</si>
  <si>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</si>
  <si>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</si>
  <si>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</si>
  <si>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</si>
  <si>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</si>
  <si>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</si>
  <si>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</si>
  <si>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</si>
  <si>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</si>
  <si>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</si>
  <si>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</si>
  <si>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</si>
  <si>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</si>
  <si>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</si>
  <si>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</si>
  <si>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</si>
  <si>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</si>
  <si>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</si>
  <si>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</si>
  <si>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</si>
  <si>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</si>
  <si>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</si>
  <si>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</si>
  <si>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</si>
  <si>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</si>
  <si>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</si>
  <si>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</si>
  <si>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</si>
  <si>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</si>
  <si>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</si>
  <si>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</si>
  <si>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</si>
  <si>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</si>
  <si>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</si>
  <si>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</si>
  <si>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</si>
  <si>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</si>
  <si>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</si>
  <si>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</si>
  <si>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</si>
  <si>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</si>
  <si>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</si>
  <si>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</si>
  <si>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</si>
  <si>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</si>
  <si>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</si>
  <si>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</si>
  <si>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</si>
  <si>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</si>
  <si>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</si>
  <si>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</si>
  <si>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</si>
  <si>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</si>
  <si>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</si>
  <si>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</si>
  <si>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</si>
  <si>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</si>
  <si>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</si>
  <si>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</si>
  <si>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</si>
  <si>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</si>
  <si>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</si>
  <si>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</si>
  <si>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</si>
  <si>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</si>
  <si>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</si>
  <si>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</si>
  <si>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</si>
  <si>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</si>
  <si>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</si>
  <si>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</si>
  <si>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</si>
  <si>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</si>
  <si>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</si>
  <si>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</si>
  <si>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</si>
  <si>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</si>
  <si>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</si>
  <si>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</si>
  <si>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</si>
  <si>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</si>
  <si>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</si>
  <si>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</si>
  <si>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</si>
  <si>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</si>
  <si>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</si>
  <si>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</si>
  <si>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</si>
  <si>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</si>
  <si>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</si>
  <si>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</si>
  <si>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</si>
  <si>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</si>
  <si>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</si>
  <si>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</si>
  <si>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</si>
  <si>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</si>
  <si>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</si>
  <si>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</si>
  <si>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</si>
  <si>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</si>
  <si>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</si>
  <si>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</si>
  <si>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</si>
  <si>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</si>
  <si>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</si>
  <si>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</si>
  <si>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</si>
  <si>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</si>
  <si>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</si>
  <si>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</si>
  <si>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</si>
  <si>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</si>
  <si>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</si>
  <si>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</si>
  <si>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</si>
  <si>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</si>
  <si>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</si>
  <si>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</si>
  <si>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</si>
  <si>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</si>
  <si>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</si>
  <si>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</si>
  <si>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</si>
  <si>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</si>
  <si>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</si>
  <si>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</si>
  <si>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</si>
  <si>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</si>
  <si>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</si>
  <si>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</si>
  <si>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</si>
  <si>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</si>
  <si>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</si>
  <si>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</si>
  <si>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</si>
  <si>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</si>
  <si>
    <t>▼ [Service Mode]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</si>
</sst>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A21" sqref="A21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5ftH  Aluminium &amp; Glass Standard  Panel ▼ [Service Mode] Top Hung Window / Fix Window M/B Default 24-Box Lattice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5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5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60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2152</v>
      </c>
      <c r="B17" s="403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1934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1792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976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2087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167.976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#DIV/0!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#DIV/0!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193" zoomScale="70" zoomScaleNormal="70" workbookViewId="0">
      <selection activeCell="F222" sqref="F222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1.55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456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1.53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1.19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11.628000000000002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192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3.81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2.79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12.192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1.75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399" t="str">
        <f>IFERROR(IF(V14="","",V14*($W$12+$W$13)),"")</f>
        <v/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399" t="str">
        <f t="shared" ref="W15:W16" si="1">IFERROR(IF(V15="","",V15*($W$12+$W$13)),"")</f>
        <v/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 t="str">
        <f>IF(OR(Enginuity!B13="",Enginuity!B6="",Enginuity!B7=""),"",Enginuity!B13*2*Enginuity!B7+Enginuity!B13*7*Enginuity!B6)</f>
        <v/>
      </c>
      <c r="W16" s="412" t="str">
        <f t="shared" si="1"/>
        <v/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60</v>
      </c>
      <c r="W77" s="399">
        <f>IFERROR(INDEX(CostData!$Q$3:$Q$12,MATCH(TRIM(Enginuity!$A$20),CostData!$P$3:$P$12,0)),"")</f>
        <v>3.9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 t="str">
        <f>IF(Enginuity!$B$13&gt;0,Enginuity!$B$13,"")</f>
        <v/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 t="e">
        <f>IF(SUM($V$61:$V$64)=0,"",SUM($V$61:$V$64))</f>
        <v>#VALUE!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60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 t="e">
        <f>IF($V$62="","",$V$62)</f>
        <v>#VALUE!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 t="e">
        <f>IF($V$62="","",$V$62)</f>
        <v>#VALUE!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274" t="s">
        <v>254</v>
      </c>
      <c r="C90" s="369" t="s">
        <v>3</v>
      </c>
      <c r="P90" s="1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1" t="str">
        <f>IF($S90="","",IFERROR(_xlfn.XLOOKUP($S90,CostData!$U$22:$U$1000,CostData!$T$22:$T$1000,""),""))</f>
        <v>Gasket</v>
      </c>
      <c r="R90" s="16" t="s">
        <v>1931</v>
      </c>
      <c r="S90" s="24">
        <v>6154</v>
      </c>
      <c r="T90" s="1" t="str" cm="1">
        <f t="array" ref="T90">_xlfn.LET(_xlpm.cd,INDEX($S:$S,ROW()),IF(_xlpm.cd="","",IFERROR(_xlfn.XLOOKUP(_xlpm.cd,CostData!$U$22:$U$1000,CostData!$W$22:$W$1000,""),"")))</f>
        <v>6154 Gasket</v>
      </c>
      <c r="U90" s="1" t="str">
        <f>IF($S90="","",IFERROR(_xlfn.XLOOKUP($S90,CostData!$U$22:$U$1000,CostData!$AA$22:$AA$1000,""),""))</f>
        <v>Ft</v>
      </c>
      <c r="V90" s="1" t="e">
        <f>IF(SUM($V$63:$V$64)=0,"",SUM($V$63:$V$64)*2)</f>
        <v>#VALUE!</v>
      </c>
      <c r="W90" s="399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/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34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_xlfn.LET(_xlpm.w,Enginuity!$B$6,_xlpm.h,Enginuity!$B$7,_xlpm.tot,IF(_xlpm.h&gt;8,_xlpm.w,0),IF(_xlpm.tot=0,"",_xlpm.tot))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34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_xlfn.LET(_xlpm.w,Enginuity!$B$6,_xlpm.h,Enginuity!$B$7,_xlpm.tot,IF(_xlpm.h&gt;8,_xlpm.w,0),IF(_xlpm.tot=0,"",_xlpm.tot))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34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C101" s="369" t="s">
        <v>1989</v>
      </c>
      <c r="F101" s="369" t="str">
        <f>"▼ [Lattice Option]"</f>
        <v>▼ [Lattice Option]</v>
      </c>
      <c r="P101" s="1" t="str" cm="1">
        <f t="array" ref="P10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C102" s="369" t="s">
        <v>1989</v>
      </c>
      <c r="F102" s="369" t="s">
        <v>2085</v>
      </c>
      <c r="P102" s="1" t="str" cm="1">
        <f t="array" ref="P10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_xlfn.LET(_xlpm.w,Enginuity!$B$6,_xlpm.h,Enginuity!$B$7,_xlpm.tot,IF(_xlpm.h&gt;8,_xlpm.w,0),IF(_xlpm.tot=0,"",_xlpm.tot))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C103" s="369" t="s">
        <v>1989</v>
      </c>
      <c r="F103" s="369" t="s">
        <v>2086</v>
      </c>
      <c r="P103" s="1" t="str" cm="1">
        <f t="array" ref="P10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34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C104" s="369" t="s">
        <v>1989</v>
      </c>
      <c r="F104" s="369" t="s">
        <v>2087</v>
      </c>
      <c r="P104" s="1" t="str" cm="1">
        <f t="array" ref="P10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34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60</v>
      </c>
      <c r="W112" s="399">
        <f>IFERROR(INDEX(CostData!$Q$3:$Q$12,MATCH(TRIM(Enginuity!$A$20),CostData!$P$3:$P$12,0)),"")</f>
        <v>3.9</v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>
        <f>IF(OR(TRIM(Enginuity!A21)=TRIM(G92),TRIM(Enginuity!A22)=TRIM(G92)),1,"")</f>
        <v>1</v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68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414"/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F161" s="369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F162" s="369" t="s">
        <v>2085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24-Box Lattice</v>
      </c>
      <c r="T162" s="1" t="str">
        <f>IF(Enginuity!$A$21="","",Enginuity!$A$21)</f>
        <v>24-Box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F163" s="369" t="s">
        <v>2086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F164" s="369" t="s">
        <v>2087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60</v>
      </c>
      <c r="W167" s="399">
        <f>IFERROR(INDEX(CostData!$Q$3:$Q$12,MATCH(TRIM(Enginuity!$A$20),CostData!$P$3:$P$12,0)),"")</f>
        <v>3.9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 t="e">
        <f>IF(SUM($V$63:$V$64)=0,"",SUM($V$63:$V$64)*2)</f>
        <v>#VALUE!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414"/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F191" s="369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F192" s="369" t="s">
        <v>2085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F193" s="369" t="s">
        <v>2086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F194" s="369" t="s">
        <v>2087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60</v>
      </c>
      <c r="W197" s="399">
        <f>IFERROR(INDEX(CostData!$Q$3:$Q$12,MATCH(TRIM(Enginuity!$A$20),CostData!$P$3:$P$12,0)),"")</f>
        <v>3.9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414"/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F221" s="369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F222" s="369" t="s">
        <v>2085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F223" s="369" t="s">
        <v>2086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F224" s="369" t="s">
        <v>2087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60</v>
      </c>
      <c r="W227" s="399">
        <f>IFERROR(INDEX(CostData!$Q$3:$Q$12,MATCH(TRIM(Enginuity!$A$20),CostData!$P$3:$P$12,0)),"")</f>
        <v>3.9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 t="e">
        <f>IF(SUM($V$63:$V$64)=0,"",SUM($V$63:$V$64)*2)</f>
        <v>#VALUE!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414"/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F251" s="369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F252" s="369" t="s">
        <v>2085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F253" s="369" t="s">
        <v>2086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F254" s="369" t="s">
        <v>2087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60</v>
      </c>
      <c r="W257" s="399">
        <f>IFERROR(INDEX(CostData!$Q$3:$Q$12,MATCH(TRIM(Enginuity!$A$20),CostData!$P$3:$P$12,0)),"")</f>
        <v>3.9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414"/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 t="str">
        <f>IF(OR(Enginuity!$B$13="",Enginuity!$B$7=""),"",Enginuity!$B$13*2*Enginuity!$B$7)</f>
        <v/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165.24013829938127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F281" s="369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F282" s="369" t="s">
        <v>2085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F283" s="369" t="s">
        <v>2086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165.24013829938127</v>
      </c>
    </row>
    <row r="284" spans="1:23" x14ac:dyDescent="0.25">
      <c r="A284" s="274" t="s">
        <v>254</v>
      </c>
      <c r="C284" s="369" t="s">
        <v>2067</v>
      </c>
      <c r="F284" s="369" t="s">
        <v>2087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60</v>
      </c>
      <c r="W287" s="399">
        <f>IFERROR(INDEX(CostData!$Q$3:$Q$12,MATCH(TRIM(Enginuity!$A$20),CostData!$P$3:$P$12,0)),"")</f>
        <v>3.9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/>
      <c r="G301" s="414"/>
      <c r="H301" s="414" t="str">
        <f t="shared" ref="H301:L301" si="16">IFERROR(IF(D1=0,"",D1),"")</f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6.5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F311" s="369" t="str">
        <f t="shared" ref="F311" si="18">IFERROR(IF(B11=0,"",B11),"")</f>
        <v/>
      </c>
      <c r="G311" s="369" t="str">
        <f t="shared" ref="G311" si="19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3.9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537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414"/>
      <c r="G331" s="369" t="str">
        <f>"▼ [Fix - Casement]"</f>
        <v>▼ [Fix - Casement]</v>
      </c>
      <c r="M331" s="410">
        <v>0.54649999999999999</v>
      </c>
      <c r="N331" s="369">
        <v>609.6</v>
      </c>
      <c r="P331" s="1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>331</v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31" s="399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G332" s="369" t="s">
        <v>1936</v>
      </c>
      <c r="P332" s="1" t="e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32" s="399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3.97</v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399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4.1500000000000004</v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4.1500000000000004</v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F341" s="369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F342" s="369" t="s">
        <v>2085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F343" s="369" t="s">
        <v>2086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F344" s="369" t="s">
        <v>2087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>347</v>
      </c>
      <c r="Q347" s="1" t="s">
        <v>1832</v>
      </c>
      <c r="R347" s="16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60</v>
      </c>
      <c r="W347" s="399">
        <f>IFERROR(INDEX(CostData!$Q$3:$Q$12,MATCH(TRIM(Enginuity!$A$20),CostData!$P$3:$P$12,0)),"")</f>
        <v>3.9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399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</v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399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1.4</v>
      </c>
    </row>
    <row r="356" spans="1:23" x14ac:dyDescent="0.25">
      <c r="A356" s="274" t="s">
        <v>254</v>
      </c>
      <c r="C356" s="369" t="s">
        <v>1934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399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357" spans="1:23" x14ac:dyDescent="0.25">
      <c r="A357" s="274" t="s">
        <v>254</v>
      </c>
      <c r="C357" s="369" t="s">
        <v>1934</v>
      </c>
      <c r="P357" s="1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>357</v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60</v>
      </c>
      <c r="W357" s="399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358" spans="1:23" x14ac:dyDescent="0.25">
      <c r="A358" s="274" t="s">
        <v>254</v>
      </c>
      <c r="C358" s="369" t="s">
        <v>1934</v>
      </c>
      <c r="P358" s="1" t="e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e">
        <f>IF($V$392="","",$V$392)</f>
        <v>#VALUE!</v>
      </c>
      <c r="W358" s="399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6.6956063431176466E-2</v>
      </c>
    </row>
    <row r="359" spans="1:23" x14ac:dyDescent="0.25">
      <c r="A359" s="274" t="s">
        <v>254</v>
      </c>
      <c r="C359" s="369" t="s">
        <v>1934</v>
      </c>
      <c r="P359" s="1" t="e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e">
        <f>IF($V$392="","",$V$392)</f>
        <v>#VALUE!</v>
      </c>
      <c r="W359" s="399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399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/>
      <c r="G361" s="414" t="str">
        <f t="shared" ref="G361" si="20">IFERROR(IF(C61=0,"",C61),"")</f>
        <v>Casement Window Standard</v>
      </c>
      <c r="H361" s="414" t="str">
        <f t="shared" ref="H361" si="21">IFERROR(IF(D61=0,"",D61),"")</f>
        <v>N/A</v>
      </c>
      <c r="I361" s="414" t="str">
        <f t="shared" ref="I361" si="22">IFERROR(IF(E61=0,"",E61),"")</f>
        <v>Default</v>
      </c>
      <c r="J361" s="414" t="str">
        <f t="shared" ref="J361" si="23">IFERROR(IF(F61=0,"",F61),"")</f>
        <v>▼ [Lattice Option]</v>
      </c>
      <c r="K361" s="414" t="str">
        <f t="shared" ref="K361" si="24">IFERROR(IF(G61=0,"",G61),"")</f>
        <v>▼ [Fix - Casement]</v>
      </c>
      <c r="L361" s="414" t="str">
        <f t="shared" ref="L361" si="25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6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6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6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6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6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6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F371" s="369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6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F372" s="369" t="s">
        <v>2085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F373" s="369" t="s">
        <v>2086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F374" s="369" t="s">
        <v>2087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3.9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414"/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e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F401" s="369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F402" s="369" t="s">
        <v>2085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F403" s="369" t="s">
        <v>2086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F404" s="369" t="s">
        <v>2087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60</v>
      </c>
      <c r="W407" s="399">
        <f>IFERROR(INDEX(CostData!$Q$3:$Q$12,MATCH(TRIM(Enginuity!$A$20),CostData!$P$3:$P$12,0)),"")</f>
        <v>3.9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60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e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e">
        <f>IF($V$392="","",$V$392)</f>
        <v>#VALUE!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e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e">
        <f>IF($V$392="","",$V$392)</f>
        <v>#VALUE!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 t="e">
        <f>IF(SUM($V$393:$V$394)=0,"",SUM($V$393:$V$394)*2)</f>
        <v>#VALUE!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414"/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e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F431" s="369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F432" s="369" t="s">
        <v>2085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F433" s="369" t="s">
        <v>2086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F434" s="369" t="s">
        <v>2087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Default</v>
      </c>
      <c r="T437" s="1" t="str">
        <f>IF(Enginuity!$A$20="","",Enginuity!$A$20)</f>
        <v>Default</v>
      </c>
      <c r="U437" s="1" t="s">
        <v>121</v>
      </c>
      <c r="V437" s="1">
        <f>IF(Enginuity!$B$9="","",Enginuity!$B$9)</f>
        <v>60</v>
      </c>
      <c r="W437" s="399">
        <f>IFERROR(INDEX(CostData!$Q$3:$Q$12,MATCH(TRIM(Enginuity!$A$20),CostData!$P$3:$P$12,0)),"")</f>
        <v>3.9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60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e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e">
        <f>IF($V$392="","",$V$392)</f>
        <v>#VALUE!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e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e">
        <f>IF($V$392="","",$V$392)</f>
        <v>#VALUE!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 t="e">
        <f>IF(SUM($V$393:$V$394)=0,"",SUM($V$393:$V$394)*2)</f>
        <v>#VALUE!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414"/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7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7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7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7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7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7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7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F461" s="369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F462" s="369" t="s">
        <v>2085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F463" s="369" t="s">
        <v>2086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F464" s="369" t="s">
        <v>2087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Default</v>
      </c>
      <c r="S465" s="1"/>
      <c r="T465" s="1" t="str">
        <f>IF(Enginuity!$A$20="","",Enginuity!$A$20)</f>
        <v>Default</v>
      </c>
      <c r="U465" s="1" t="s">
        <v>121</v>
      </c>
      <c r="V465" s="1">
        <f>IF(Enginuity!$B$9="","",Enginuity!$B$9)</f>
        <v>60</v>
      </c>
      <c r="W465" s="399">
        <f>IFERROR(INDEX(CostData!$Q$3:$Q$12,MATCH(TRIM(Enginuity!$A$20),CostData!$P$3:$P$12,0)),"")</f>
        <v>3.9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8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8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8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8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8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8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8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8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 t="str">
        <f>IF(TRIM(Enginuity!$A$22)="Fix Window","",IF(Enginuity!$B$13&gt;0,Enginuity!$B$13,""))</f>
        <v/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9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 t="str">
        <f>IF(TRIM(Enginuity!$A$22)="Fix Window","",IF(Enginuity!$B$13="","",Enginuity!$B$13))</f>
        <v/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 t="shared" si="29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 t="e">
        <f>IF(SUM($V$391:$V$394)=0,"",SUM($V$391:$V$394))</f>
        <v>#VALUE!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9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e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8" s="1" t="str">
        <f>IF($S478="","",IFERROR(_xlfn.XLOOKUP($S478,CostData!$U$22:$U$1000,CostData!$T$22:$T$1000,""),""))</f>
        <v>Weather Strip</v>
      </c>
      <c r="R478" s="16" t="str">
        <f t="shared" si="29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 t="e">
        <f>IF($V$392="","",$V$392)</f>
        <v>#VALUE!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e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e">
        <f>IF($V$392="","",$V$392)</f>
        <v>#VALUE!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 t="e">
        <f>IF(SUM($V$393:$V$394)=0,"",SUM($V$393:$V$394)*2)</f>
        <v>#VALUE!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414"/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F491" s="369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F492" s="369" t="s">
        <v>2085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F493" s="369" t="s">
        <v>2086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F494" s="369" t="s">
        <v>2087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60</v>
      </c>
      <c r="W497" s="399">
        <f>IFERROR(INDEX(CostData!$Q$3:$Q$12,MATCH(TRIM(Enginuity!$A$20),CostData!$P$3:$P$12,0)),"")</f>
        <v>3.9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60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 t="e">
        <f>IF(SUM($V$63:$V$64)=0,"",SUM($V$63:$V$64)*2)</f>
        <v>#VALUE!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414"/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F521" s="369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F522" s="369" t="s">
        <v>2085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F523" s="369" t="s">
        <v>2086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F524" s="369" t="s">
        <v>2087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60</v>
      </c>
      <c r="W527" s="399">
        <f>IFERROR(INDEX(CostData!$Q$3:$Q$12,MATCH(TRIM(Enginuity!$A$20),CostData!$P$3:$P$12,0)),"")</f>
        <v>3.9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60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 t="e">
        <f>IF(SUM($V$63:$V$64)=0,"",SUM($V$63:$V$64)*2)</f>
        <v>#VALUE!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11.628000000000002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12.192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11.628000000000002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12.192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F1" sqref="F1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TitlePos,IFERROR(INDEX(_xlfn._xlws.FILTER(_xlpm.vMarks,TRIM(INDEX(_xlpm.vBlk,_xlpm.vMarks))&lt;&gt;"▼ [Product Subtype]"),1),0),IF(_xlpm.vTitlePos=0,"",INDEX(_xlpm.vBlk,_xlpm.vTitlePos))),"")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20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I1" s="220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J1" s="220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K1" s="220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L1" s="220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TitlePos,IFERROR(INDEX(_xlfn._xlws.FILTER(_xlpm.vMarks,TRIM(INDEX(_xlpm.vBlk,_xlpm.vMarks))&lt;&gt;"▼ [Product Subtype]"),1),0),_xlpm.vNextPos,IF(_xlpm.vTitlePos=0,0,IFERROR(INDEX(_xlfn._xlws.FILTER(_xlpm.vMarks,_xlpm.vMarks&gt;_xlpm.vTitlePos),1),0)),_xlpm.vFrom,_xlpm.vTitlePos+1,_xlpm.vTo,IF(_xlpm.vNextPos=0,ROWS(_xlpm.vBlk),_xlpm.vNextPos-1),_xlpm.vSeg,IF(OR(_xlpm.vTitlePos=0,_xlpm.vFrom&gt;_xlpm.vTo),"",INDEX(_xlpm.vBlk,_xlfn.SEQUENCE(_xlpm.vTo-_xlpm.vFrom+1,,_xlpm.vFrom))),_xlfn._xlws.FILTER(_xlpm.vSeg,TRIM(_xlpm.vSeg)&lt;&gt;"")),"")</f>
        <v>08-Box Lattice</v>
      </c>
      <c r="G2" t="str" cm="1">
        <f t="array" ref="G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Fix Window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</row>
    <row r="6" spans="1:12" x14ac:dyDescent="0.25">
      <c r="C6" t="str">
        <v>Sliding Door Standard</v>
      </c>
    </row>
    <row r="7" spans="1:12" x14ac:dyDescent="0.25">
      <c r="C7" t="str">
        <v>Sliding Window Economy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369"/>
    </row>
    <row r="41" spans="2:2" x14ac:dyDescent="0.25">
      <c r="B41" s="369" t="str" cm="1">
        <f t="array" ref="B41">IF(SUMPRODUCT(--(LEN(B42:B80)&gt;0))&gt;0,"▼ [Product Subtype]","")</f>
        <v/>
      </c>
    </row>
    <row r="42" spans="2:2" x14ac:dyDescent="0.25">
      <c r="B42" t="str" cm="1">
        <f t="array" ref="B42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SubPos,IFERROR(_xlfn.XMATCH("▼ [Product Subtype]",TRIM(_xlpm.vBlk),0),0),_xlpm.vNextPos,IF(_xlpm.vSubPos=0,0,IFERROR(INDEX(_xlfn._xlws.FILTER(_xlpm.vMarks,_xlpm.vMarks&gt;_xlpm.vSubPos),1),0)),_xlpm.vFrom,_xlpm.vSubPos+1,_xlpm.vTo,IF(_xlpm.vNextPos=0,ROWS(_xlpm.vBlk),_xlpm.vNextPos-1),_xlpm.vSeg,IF(OR(_xlpm.vSubPos=0,_xlpm.vFrom&gt;_xlpm.vTo),"",INDEX(_xlpm.vBlk,_xlfn.SEQUENCE(_xlpm.vTo-_xlpm.vFrom+1,,_xlpm.vFrom))),_xlfn._xlws.FILTER(_xlpm.vSeg,TRIM(_xlpm.vSeg)&lt;&gt;"")),""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22</v>
      </c>
      <c r="E2" s="243">
        <v>11.46</v>
      </c>
      <c r="F2" s="104">
        <f>IF(D2*E2=0, "", D2*E2)</f>
        <v>252.12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M/B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 t="e">
        <f>IF(AND(Enginuity!$B$6&gt;0, Enginuity!$B$7&gt;0, Enginuity!$B$13&gt;0), (2 * Enginuity!$B$7 * Enginuity!$B$13) + (2 * Enginuity!$B$6), "")</f>
        <v>#VALUE!</v>
      </c>
      <c r="U3" s="103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2">
        <f>IF(Enginuity!$B$7&gt;0, Enginuity!$B$7, "")</f>
        <v>5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E6" s="243">
        <v>0.56999999999999995</v>
      </c>
      <c r="F6" s="104">
        <f t="shared" si="0"/>
        <v>34.199999999999996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2" t="e">
        <f>IF(AND(Enginuity!$B$7&gt;0, Enginuity!$B$13&gt;1), (Enginuity!$B$13 - 1) * Enginuity!$B$7, "")</f>
        <v>#VALUE!</v>
      </c>
      <c r="U6" s="103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 t="str">
        <f>Enginuity!$B$13</f>
        <v/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 t="e">
        <f xml:space="preserve"> ((2*1*Enginuity!$B$13 + 2*Enginuity!$B$6) * $B$9)
+ (((Enginuity!$B$13-1)*1) * $B$8)</f>
        <v>#VALUE!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 t="e">
        <f>(3*Enginuity!$B$6)+(Enginuity!$B$7*Enginuity!$B$13)</f>
        <v>#VALUE!</v>
      </c>
      <c r="E9" s="244">
        <v>1.86</v>
      </c>
      <c r="F9" s="104" t="e">
        <f t="shared" si="0"/>
        <v>#VALUE!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 t="e">
        <f>(4*Enginuity!$B$6)+(2*Enginuity!$B$7*Enginuity!$B$13)</f>
        <v>#VALUE!</v>
      </c>
      <c r="E10" s="244">
        <v>1.86</v>
      </c>
      <c r="F10" s="104" t="e">
        <f t="shared" si="0"/>
        <v>#VALUE!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 t="e">
        <f>Enginuity!$B$13*4</f>
        <v>#VALUE!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4" t="e">
        <f>IF(D11*E11=0, "", D11*E11)</f>
        <v>#VALUE!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 t="e">
        <f>Enginuity!$B$13*2</f>
        <v>#VALUE!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 t="e">
        <f>((2*1 + 2*Enginuity!$B$6) * $B$6)
+ ((2*1*Enginuity!$B$13 + 2*Enginuity!$B$6) * $B$9)
+ (((Enginuity!$B$13-1)*1) * $B$8)
+ (Enginuity!$B$6 * $B$4)</f>
        <v>#VALUE!</v>
      </c>
      <c r="F12" s="104" t="e">
        <f>IF(D12*E12=0, "", D12*E12)</f>
        <v>#VALUE!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2">
        <f>IF(Enginuity!$B$7&gt;0, 2 * Enginuity!$B$7, "")</f>
        <v>10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 t="e">
        <f>IF(AND(Enginuity!$B$7&gt;0, Enginuity!$B$13&gt;0), Enginuity!$B$7 * Enginuity!$B$13, "")</f>
        <v>#VALUE!</v>
      </c>
      <c r="U19" s="103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 t="e">
        <f>IF(AND(Enginuity!$B$7&gt;0, Enginuity!$B$13&gt;0), Enginuity!$B$7 * Enginuity!$B$13, "")</f>
        <v>#VALUE!</v>
      </c>
      <c r="U20" s="103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5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 t="e">
        <f>$Q$3</f>
        <v>#VALUE!</v>
      </c>
      <c r="U52" s="103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e">
        <f>IF(AND(Enginuity!$B$7&gt;0, Enginuity!$B$13&gt;1), (Enginuity!$B$13 - 1) * Enginuity!$B$7, "")</f>
        <v>#VALUE!</v>
      </c>
      <c r="U54" s="103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24-Box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 t="e">
        <f>$Q$3</f>
        <v>#VALUE!</v>
      </c>
      <c r="U62" s="103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e">
        <f>IF(AND(Enginuity!$B$7&gt;0, Enginuity!$B$13&gt;1), (Enginuity!$B$13 - 1) * Enginuity!$B$7, "")</f>
        <v>#VALUE!</v>
      </c>
      <c r="U64" s="103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24-Box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M/B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 t="e">
        <f>IF(AND(Enginuity!$B$6&gt;0, Enginuity!$B$7&gt;0, Enginuity!$B$13&gt;0), (2 * Enginuity!$B$7 * Enginuity!$B$13) + (2 * Enginuity!$B$6), "")</f>
        <v>#VALUE!</v>
      </c>
      <c r="U80" s="103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 t="e">
        <f>IF(AND(Enginuity!$B$6&gt;0, Enginuity!$B$7&gt;0, Enginuity!$B$13&gt;0), ((2*Enginuity!$B$7*Enginuity!$B$13)+(2*Enginuity!$B$6))*2, "")</f>
        <v>#VALUE!</v>
      </c>
      <c r="U81" s="103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3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 t="e">
        <f>Enginuity!$B$13*IF(TRIM(Enginuity!$A$21)="1'H X ?'W X Qty Panel Top Hung (Casement Profile)",2,1)</f>
        <v>#VALUE!</v>
      </c>
      <c r="U83" s="103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 t="e">
        <f>Enginuity!$B$13*IF(TRIM(Enginuity!$A$21)="1'H X ?'W X Qty Panel Top Hung (Casement Profile)",2,1)</f>
        <v>#VALUE!</v>
      </c>
      <c r="U84" s="103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 t="e">
        <f>IF(AND(Enginuity!$B$7&gt;0, Enginuity!$B$13&gt;0), Enginuity!$B$7 * Enginuity!$B$13, "")</f>
        <v>#VALUE!</v>
      </c>
      <c r="U108" s="103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 t="e">
        <f>IF(AND(Enginuity!$B$7&gt;0, Enginuity!$B$13&gt;0), Enginuity!$B$7 * Enginuity!$B$13, "")</f>
        <v>#VALUE!</v>
      </c>
      <c r="U109" s="103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5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24-Box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 t="e">
        <f>IF(AND(Enginuity!$B$7&gt;0, Enginuity!$B$13&gt;0), Enginuity!$B$7 * Enginuity!$B$13, "")</f>
        <v>#VALUE!</v>
      </c>
      <c r="U126" s="103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 t="e">
        <f>IF(AND(Enginuity!$B$7&gt;0, Enginuity!$B$13&gt;0), Enginuity!$B$7 * Enginuity!$B$13, "")</f>
        <v>#VALUE!</v>
      </c>
      <c r="U127" s="103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5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24-Box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M/B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 t="e">
        <f>IF(AND(Enginuity!$B$6&gt;0, Enginuity!$B$7&gt;0, Enginuity!$B$13&gt;0), (2 * Enginuity!$B$7 * Enginuity!$B$13) + (2 * Enginuity!$B$6), "")</f>
        <v>#VALUE!</v>
      </c>
      <c r="U141" s="103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 t="e">
        <f>IF(AND(Enginuity!$B$6&gt;0, Enginuity!$B$7&gt;0, Enginuity!$B$13&gt;0), ((2*Enginuity!$B$7*Enginuity!$B$13)+(2*Enginuity!$B$6))*2, "")</f>
        <v>#VALUE!</v>
      </c>
      <c r="U142" s="103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3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 t="str">
        <f>Enginuity!$B$13</f>
        <v/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 t="e">
        <f>Enginuity!$B$13*4</f>
        <v>#VALUE!</v>
      </c>
      <c r="U147" s="103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 t="e">
        <f>Enginuity!$B$13*2</f>
        <v>#VALUE!</v>
      </c>
      <c r="U148" s="103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 t="e">
        <f>IF(AND(Enginuity!$B$7&gt;0, Enginuity!$B$13&gt;0), Enginuity!$B$7 * Enginuity!$B$13, "")</f>
        <v>#VALUE!</v>
      </c>
      <c r="U157" s="103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 t="e">
        <f>IF(AND(Enginuity!$B$7&gt;0, Enginuity!$B$13&gt;0), Enginuity!$B$7 * Enginuity!$B$13, "")</f>
        <v>#VALUE!</v>
      </c>
      <c r="U158" s="103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5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24-Box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 t="e">
        <f>IF(AND(Enginuity!$B$7&gt;0, Enginuity!$B$13&gt;0), Enginuity!$B$7 * Enginuity!$B$13, "")</f>
        <v>#VALUE!</v>
      </c>
      <c r="U175" s="103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 t="e">
        <f>IF(AND(Enginuity!$B$7&gt;0, Enginuity!$B$13&gt;0), Enginuity!$B$7 * Enginuity!$B$13, "")</f>
        <v>#VALUE!</v>
      </c>
      <c r="U176" s="103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5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24-Box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M/B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 t="e">
        <f>IF(AND(Enginuity!$B$6&gt;0, Enginuity!$B$7&gt;0, Enginuity!$B$13&gt;0), (2 * Enginuity!$B$7 * Enginuity!$B$13) + (2 * Enginuity!$B$6), "")</f>
        <v>#VALUE!</v>
      </c>
      <c r="U190" s="103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 t="e">
        <f>IF(AND(Enginuity!$B$6&gt;0, Enginuity!$B$7&gt;0, Enginuity!$B$13&gt;0), ((2*Enginuity!$B$7*Enginuity!$B$13)+(2*Enginuity!$B$6))*2, "")</f>
        <v>#VALUE!</v>
      </c>
      <c r="U191" s="103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3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 t="str">
        <f>Enginuity!$B$13</f>
        <v/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 t="e">
        <f>Enginuity!$B$13*4</f>
        <v>#VALUE!</v>
      </c>
      <c r="U196" s="103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 t="e">
        <f>Enginuity!$B$13*2</f>
        <v>#VALUE!</v>
      </c>
      <c r="U197" s="103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 t="e">
        <f>$Q$3</f>
        <v>#VALUE!</v>
      </c>
      <c r="U203" s="103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 t="e">
        <f>$Q$3</f>
        <v>#VALUE!</v>
      </c>
      <c r="U218" s="103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M/B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 t="e">
        <f>IF(AND(Enginuity!$B$6&gt;0, Enginuity!$B$7&gt;0, Enginuity!$B$13&gt;0), ((2*Enginuity!$B$7*Enginuity!$B$13)+(2*Enginuity!$B$6))*2, "")</f>
        <v>#VALUE!</v>
      </c>
      <c r="U237" s="103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3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 t="str">
        <f>Enginuity!$B$13</f>
        <v/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 t="e">
        <f>Enginuity!$B$13*2</f>
        <v>#VALUE!</v>
      </c>
      <c r="U242" s="103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 t="e">
        <f>Enginuity!$B$13*2</f>
        <v>#VALUE!</v>
      </c>
      <c r="U243" s="103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 t="e">
        <f>IF(Enginuity!$B$13-1=0, "", Enginuity!$B$13-1)</f>
        <v>#VALUE!</v>
      </c>
      <c r="U245" s="103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 t="e">
        <f>IF(Enginuity!$B$13-1=0, "", Enginuity!$B$13-1)</f>
        <v>#VALUE!</v>
      </c>
      <c r="U246" s="103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 t="e">
        <f>$Q$3</f>
        <v>#VALUE!</v>
      </c>
      <c r="U247" s="103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24-Box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252.12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 t="e">
        <f>$Q$3</f>
        <v>#VALUE!</v>
      </c>
      <c r="U257" s="103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24-Box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M/B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 t="e">
        <f>IF(AND(Enginuity!$B$6&gt;0, Enginuity!$B$7&gt;0, Enginuity!$B$13&gt;0), ((2*Enginuity!$B$7*Enginuity!$B$13)+(2*Enginuity!$B$6))*2, "")</f>
        <v>#VALUE!</v>
      </c>
      <c r="U286" s="103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3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 t="str">
        <f>IF(OR(Enginuity!$B$7="",Enginuity!$B$13=""),"",
Enginuity!$B$13*
IF(Enginuity!$B$7&lt;=7,3,
IF(Enginuity!$B$7&lt;=9,4,
IF(Enginuity!$B$7&lt;=11,5,6))))</f>
        <v/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 t="str">
        <f>Enginuity!$B$13</f>
        <v/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 t="e">
        <f>IF(Enginuity!$B$13-1=0, "", Enginuity!$B$13-1)</f>
        <v>#VALUE!</v>
      </c>
      <c r="U294" s="103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 t="e">
        <f>IF(Enginuity!$B$13-1=0, "", Enginuity!$B$13-1)</f>
        <v>#VALUE!</v>
      </c>
      <c r="U295" s="103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3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 t="e">
        <f>(Enginuity!$B$13 - 1) * Enginuity!$B$7</f>
        <v>#VALUE!</v>
      </c>
      <c r="U347" s="103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24-Box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 t="e">
        <f>(Enginuity!$B$13 - 1) * Enginuity!$B$7</f>
        <v>#VALUE!</v>
      </c>
      <c r="U357" s="103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24-Box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M/B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 t="e">
        <f>IF(AND(Enginuity!$B$6&gt;0, Enginuity!$B$7&gt;0, Enginuity!$B$13&gt;0), ((2*Enginuity!$B$7*Enginuity!$B$13)+(2*Enginuity!$B$6))*2, "")</f>
        <v>#VALUE!</v>
      </c>
      <c r="U390" s="103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3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 t="e">
        <f>(Enginuity!$B$13 - 1) * Enginuity!$B$7</f>
        <v>#VALUE!</v>
      </c>
      <c r="U396" s="103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24-Box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 t="e">
        <f>(Enginuity!$B$13 - 1) * Enginuity!$B$7</f>
        <v>#VALUE!</v>
      </c>
      <c r="U406" s="103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24-Box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M/B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 t="e">
        <f>IF(AND(Enginuity!$B$6&gt;0, Enginuity!$B$7&gt;0, Enginuity!$B$13&gt;0), ((2*Enginuity!$B$7*Enginuity!$B$13)+(2*Enginuity!$B$6))*2, "")</f>
        <v>#VALUE!</v>
      </c>
      <c r="U439" s="103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3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 t="e">
        <f>Enginuity!$B$7*(Enginuity!$B$13+1)</f>
        <v>#VALUE!</v>
      </c>
      <c r="U443" s="103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5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60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60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60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60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M/B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 t="e">
        <f>Enginuity!$B$7*(Enginuity!$B$13+1)</f>
        <v>#VALUE!</v>
      </c>
      <c r="U455" s="103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5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60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60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60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60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M/B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 t="e">
        <f>Enginuity!$B$7*Enginuity!$B$13</f>
        <v>#VALUE!</v>
      </c>
      <c r="U467" s="103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60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60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 t="e">
        <f>Enginuity!$B$7*Enginuity!$B$13</f>
        <v>#VALUE!</v>
      </c>
      <c r="U475" s="103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60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60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60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M/B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 t="e">
        <f>Enginuity!$B$13 * Enginuity!$B$7</f>
        <v>#VALUE!</v>
      </c>
      <c r="U481" s="103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 t="e">
        <f>Enginuity!$B$13 * Enginuity!$B$7</f>
        <v>#VALUE!</v>
      </c>
      <c r="U492" s="103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 t="e">
        <f>ROUNDUP(Enginuity!B6 * 304.8 / Enginuity!B15, 0) * 2</f>
        <v>#DIV/0!</v>
      </c>
      <c r="U494" s="103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#DIV/0!</v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 t="e">
        <f>ROUNDUP(Enginuity!B6 * 304.8 / Enginuity!B15, 0) * 8</f>
        <v>#DIV/0!</v>
      </c>
      <c r="U497" s="103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#DIV/0!</v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M/B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 t="e">
        <f>ROUNDUP((Enginuity!$B$6*2 + Enginuity!$B$13*2*Enginuity!$B$7)/3, 0)</f>
        <v>#VALUE!</v>
      </c>
      <c r="U503" s="103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 t="e">
        <f>ROUNDUP((((Enginuity!$B$13-1)*Enginuity!$B$7)*2/32.8)*1.1, 0)</f>
        <v>#VALUE!</v>
      </c>
      <c r="U505" s="103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M/B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 t="e">
        <f>ROUNDUP((Enginuity!$B$6*2 + Enginuity!$B$13*2*Enginuity!$B$7)/3, 0)</f>
        <v>#VALUE!</v>
      </c>
      <c r="U510" s="103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 t="e">
        <f>ROUNDUP((((Enginuity!$B$13-1)*Enginuity!$B$7)*2/32.8)*1.1, 0)</f>
        <v>#VALUE!</v>
      </c>
      <c r="U512" s="103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M/B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 t="str">
        <f>Enginuity!$B$13</f>
        <v/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 t="str">
        <f>Enginuity!$B$13</f>
        <v/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 t="e">
        <f>$Q$3</f>
        <v>#VALUE!</v>
      </c>
      <c r="U542" s="103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e">
        <f>$Q$6</f>
        <v>#VALUE!</v>
      </c>
      <c r="U544" s="103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 t="e">
        <f>$Q$3</f>
        <v>#VALUE!</v>
      </c>
      <c r="U545" s="103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 t="e">
        <f>Enginuity!$B$7*Enginuity!$B$13</f>
        <v>#VALUE!</v>
      </c>
      <c r="U546" s="103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24-Box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M/B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 t="e">
        <f>IF(AND(Enginuity!$B$6&gt;0, Enginuity!$B$7&gt;0, Enginuity!$B$13&gt;0), (2 * Enginuity!$B$7 * Enginuity!$B$13) + (2 * Enginuity!$B$6), "")</f>
        <v>#VALUE!</v>
      </c>
      <c r="U572" s="103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 t="e">
        <f>IF(AND(Enginuity!$B$6&gt;0, Enginuity!$B$7&gt;0, Enginuity!$B$13&gt;0), ((2*Enginuity!$B$7*Enginuity!$B$13)+(2*Enginuity!$B$6))*2, "")</f>
        <v>#VALUE!</v>
      </c>
      <c r="U573" s="103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3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 t="e">
        <f>Enginuity!$B$13*IF(TRIM(Enginuity!$A$21)="1'H X ?'W X Qty Panel Top Hung (Casement Profile)",2,1)</f>
        <v>#VALUE!</v>
      </c>
      <c r="U575" s="103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 t="e">
        <f>Enginuity!$B$13*IF(TRIM(Enginuity!$A$21)="1'H X ?'W X Qty Panel Top Hung (Casement Profile)",2,1)</f>
        <v>#VALUE!</v>
      </c>
      <c r="U576" s="103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 t="str">
        <f>IF(AND(ISNUMBER(Enginuity!$B$13), Enginuity!$B$13&gt;0), Enginuity!$B$13*4, "")</f>
        <v/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 t="str">
        <f>IF(AND(ISNUMBER(Enginuity!$B$13), Enginuity!$B$13&gt;0), Enginuity!$B$13*4, "")</f>
        <v/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 t="e">
        <f>Enginuity!$B$13*4</f>
        <v>#VALUE!</v>
      </c>
      <c r="U580" s="103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 t="e">
        <f>Enginuity!$B$13*
 IF(Enginuity!$B$7&lt;5,2,
 IF(Enginuity!$B$7&lt;6,3,
 IF(Enginuity!$B$7&lt;=7,4,5)))</f>
        <v>#VALUE!</v>
      </c>
      <c r="U581" s="103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 t="e">
        <f>Enginuity!$B$13*
 IF(Enginuity!$B$7&lt;5,2,
 IF(Enginuity!$B$7&lt;6,3,
 IF(Enginuity!$B$7&lt;=7,4,5)))</f>
        <v>#VALUE!</v>
      </c>
      <c r="U582" s="103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 t="e">
        <f>Enginuity!$B$13*2</f>
        <v>#VALUE!</v>
      </c>
      <c r="U583" s="103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 t="e">
        <f>Enginuity!$B$13*2</f>
        <v>#VALUE!</v>
      </c>
      <c r="U584" s="103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 t="e">
        <f>Enginuity!$B$13*1</f>
        <v>#VALUE!</v>
      </c>
      <c r="U585" s="103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 t="e">
        <f>$Q$3</f>
        <v>#VALUE!</v>
      </c>
      <c r="U591" s="103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e">
        <f>$Q$6</f>
        <v>#VALUE!</v>
      </c>
      <c r="U593" s="103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 t="e">
        <f>Enginuity!$B$7*Enginuity!$B$13</f>
        <v>#VALUE!</v>
      </c>
      <c r="U594" s="103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24-Box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M/B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 t="e">
        <f>IF(AND(Enginuity!$B$6&gt;0, Enginuity!$B$7&gt;0, Enginuity!$B$13&gt;0), (2 * Enginuity!$B$7 * Enginuity!$B$13) + (2 * Enginuity!$B$6), "")</f>
        <v>#VALUE!</v>
      </c>
      <c r="U621" s="103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 t="e">
        <f>IF(AND(Enginuity!$B$6&gt;0, Enginuity!$B$7&gt;0, Enginuity!$B$13&gt;0), ((2*Enginuity!$B$7*Enginuity!$B$13)+(2*Enginuity!$B$6))*2, "")</f>
        <v>#VALUE!</v>
      </c>
      <c r="U622" s="103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3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 t="e">
        <f>Enginuity!$B$13*IF(TRIM(Enginuity!$A$21)="1'H X ?'W X Qty Panel Top Hung (Casement Profile)",2,1)</f>
        <v>#VALUE!</v>
      </c>
      <c r="U624" s="103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 t="e">
        <f>Enginuity!$B$13*IF(TRIM(Enginuity!$A$21)="1'H X ?'W X Qty Panel Top Hung (Casement Profile)",2,1)</f>
        <v>#VALUE!</v>
      </c>
      <c r="U625" s="103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 t="str">
        <f>IF(AND(ISNUMBER(Enginuity!$B$13), Enginuity!$B$13&gt;0), Enginuity!$B$13*4, "")</f>
        <v/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 t="e">
        <f>Enginuity!$B$13*
 IF(Enginuity!$B$7&lt;5,2,
 IF(Enginuity!$B$7&lt;6,3,
 IF(Enginuity!$B$7&lt;=7,4,5)))</f>
        <v>#VALUE!</v>
      </c>
      <c r="U628" s="103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 t="e">
        <f>Enginuity!$B$13*
 IF(Enginuity!$B$7&lt;5,2,
 IF(Enginuity!$B$7&lt;6,3,
 IF(Enginuity!$B$7&lt;=7,4,5)))</f>
        <v>#VALUE!</v>
      </c>
      <c r="U629" s="103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 t="e">
        <f>Enginuity!$B$13*2</f>
        <v>#VALUE!</v>
      </c>
      <c r="U630" s="103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 t="e">
        <f>Enginuity!$B$13*2</f>
        <v>#VALUE!</v>
      </c>
      <c r="U631" s="103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 t="e">
        <f>Enginuity!$B$13*1</f>
        <v>#VALUE!</v>
      </c>
      <c r="U632" s="103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 t="e">
        <f>$Q$3</f>
        <v>#VALUE!</v>
      </c>
      <c r="U640" s="103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e">
        <f>$Q$6</f>
        <v>#VALUE!</v>
      </c>
      <c r="U642" s="103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 t="e">
        <f>Enginuity!$B$7*Enginuity!$B$13</f>
        <v>#VALUE!</v>
      </c>
      <c r="U644" s="103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24-Box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M/B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 t="e">
        <f>IF(AND(Enginuity!$B$6&gt;0, Enginuity!$B$7&gt;0, Enginuity!$B$13&gt;0), (2 * Enginuity!$B$7 * Enginuity!$B$13) + (2 * Enginuity!$B$6), "")</f>
        <v>#VALUE!</v>
      </c>
      <c r="U670" s="103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 t="e">
        <f>IF(AND(Enginuity!$B$6&gt;0, Enginuity!$B$7&gt;0, Enginuity!$B$13&gt;0), ((2*Enginuity!$B$7*Enginuity!$B$13)+(2*Enginuity!$B$6))*2, "")</f>
        <v>#VALUE!</v>
      </c>
      <c r="U671" s="103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3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 t="e">
        <f>Enginuity!$B$13*IF(TRIM(Enginuity!$A$21)="1'H X ?'W X Qty Panel Top Hung (Casement Profile)",2,1)</f>
        <v>#VALUE!</v>
      </c>
      <c r="U673" s="103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 t="e">
        <f>Enginuity!$B$13*IF(TRIM(Enginuity!$A$21)="1'H X ?'W X Qty Panel Top Hung (Casement Profile)",2,1)</f>
        <v>#VALUE!</v>
      </c>
      <c r="U674" s="103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 t="str">
        <f>IF(AND(ISNUMBER(Enginuity!$B$13), Enginuity!$B$13&gt;0), Enginuity!$B$13*4, "")</f>
        <v/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 t="e">
        <f>Enginuity!$B$13*
 IF(Enginuity!$B$7&lt;5,2,
 IF(Enginuity!$B$7&lt;6,3,
 IF(Enginuity!$B$7&lt;=7,4,5)))</f>
        <v>#VALUE!</v>
      </c>
      <c r="U677" s="103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 t="e">
        <f>Enginuity!$B$13*
 IF(Enginuity!$B$7&lt;5,2,
 IF(Enginuity!$B$7&lt;6,3,
 IF(Enginuity!$B$7&lt;=7,4,5)))</f>
        <v>#VALUE!</v>
      </c>
      <c r="U678" s="103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 t="e">
        <f>Enginuity!$B$13*2</f>
        <v>#VALUE!</v>
      </c>
      <c r="U679" s="103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 t="e">
        <f>Enginuity!$B$13*2</f>
        <v>#VALUE!</v>
      </c>
      <c r="U680" s="103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 t="e">
        <f>Enginuity!$B$13*1</f>
        <v>#VALUE!</v>
      </c>
      <c r="U681" s="103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 t="e">
        <f>$Q$3</f>
        <v>#VALUE!</v>
      </c>
      <c r="U691" s="103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 t="e">
        <f>Enginuity!$B$7*Enginuity!$B$13</f>
        <v>#VALUE!</v>
      </c>
      <c r="U693" s="103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24-Box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M/B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 t="e">
        <f>IF(AND(Enginuity!$B$6&gt;0, Enginuity!$B$7&gt;0, Enginuity!$B$13&gt;0), (2 * Enginuity!$B$7 * Enginuity!$B$13) + (2 * Enginuity!$B$6), "")</f>
        <v>#VALUE!</v>
      </c>
      <c r="U719" s="103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 t="e">
        <f>IF(AND(Enginuity!$B$6&gt;0, Enginuity!$B$7&gt;0, Enginuity!$B$13&gt;0), ((2*Enginuity!$B$7*Enginuity!$B$13)+(2*Enginuity!$B$6))*2, "")</f>
        <v>#VALUE!</v>
      </c>
      <c r="U720" s="103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3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 t="e">
        <f>IF(MOD(Enginuity!$B$13,2)=1,1,0)</f>
        <v>#VALUE!</v>
      </c>
      <c r="U722" s="103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 t="e">
        <f>FLOOR(Enginuity!$B$13/2,1)</f>
        <v>#VALUE!</v>
      </c>
      <c r="U723" s="103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 t="str">
        <f>IF(AND(ISNUMBER(Enginuity!$B$13), Enginuity!$B$13&gt;0), Enginuity!$B$13*4, "")</f>
        <v/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 t="e">
        <f>FLOOR(Enginuity!$B$13/2,1)</f>
        <v>#VALUE!</v>
      </c>
      <c r="U725" s="103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 t="e">
        <f>(Enginuity!$B$13*
  IF(Enginuity!$B$7&lt;=7,3,
  IF(Enginuity!$B$7&lt;=9,4,
  IF(Enginuity!$B$7&lt;=11,5,6))))
  - (2*FLOOR((Enginuity!$B$13-1)/2,1))</f>
        <v>#VALUE!</v>
      </c>
      <c r="U726" s="103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 t="e">
        <f>FLOOR(Enginuity!$B$13/2,1)</f>
        <v>#VALUE!</v>
      </c>
      <c r="U727" s="103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 t="e">
        <f>(FLOOR(Enginuity!$B$13/2,1)*2)+IF(MOD(Enginuity!$B$13,2)=1,2,0)</f>
        <v>#VALUE!</v>
      </c>
      <c r="U728" s="103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 t="e">
        <f>IF(AND(Enginuity!$B$7&gt;0, Enginuity!$B$13&gt;0), Enginuity!$B$7 * Enginuity!$B$13, "")</f>
        <v>#VALUE!</v>
      </c>
      <c r="U745" s="103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 t="e">
        <f>IF(AND(Enginuity!$B$7&gt;0, Enginuity!$B$13&gt;0), Enginuity!$B$7 * Enginuity!$B$13, "")</f>
        <v>#VALUE!</v>
      </c>
      <c r="U746" s="103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24-Box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M/B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 t="e">
        <f>IF(AND(Enginuity!$B$6&gt;0, Enginuity!$B$7&gt;0, Enginuity!$B$13&gt;0), (2 * Enginuity!$B$7 * Enginuity!$B$13) + (2 * Enginuity!$B$6), "")</f>
        <v>#VALUE!</v>
      </c>
      <c r="U758" s="103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 t="e">
        <f>IF(AND(Enginuity!$B$6&gt;0, Enginuity!$B$7&gt;0, Enginuity!$B$13&gt;0), ((2*Enginuity!$B$7*Enginuity!$B$13)+(2*Enginuity!$B$6))*2, "")</f>
        <v>#VALUE!</v>
      </c>
      <c r="U759" s="103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3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 t="str">
        <f>IF(AND(ISNUMBER(Enginuity!$B$13), Enginuity!$B$13&gt;0), Enginuity!$B$13*4, "")</f>
        <v/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 t="str">
        <f>Enginuity!$B$13</f>
        <v/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 t="e">
        <f>Enginuity!$B$13*2</f>
        <v>#VALUE!</v>
      </c>
      <c r="U766" s="103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 t="e">
        <f>Enginuity!$B$13*4</f>
        <v>#VALUE!</v>
      </c>
      <c r="U768" s="103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 t="e">
        <f>Enginuity!$B$13*2</f>
        <v>#VALUE!</v>
      </c>
      <c r="U769" s="103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 t="e">
        <f>IF(AND(Enginuity!$B$7&gt;0, Enginuity!$B$13&gt;0), Enginuity!$B$7 * Enginuity!$B$13, "")</f>
        <v>#VALUE!</v>
      </c>
      <c r="U794" s="103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 t="e">
        <f>IF(AND(Enginuity!$B$7&gt;0, Enginuity!$B$13&gt;0), Enginuity!$B$7 * Enginuity!$B$13, "")</f>
        <v>#VALUE!</v>
      </c>
      <c r="U795" s="103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24-Box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M/B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 t="e">
        <f>IF(AND(Enginuity!$B$6&gt;0, Enginuity!$B$7&gt;0, Enginuity!$B$13&gt;0), (2 * Enginuity!$B$7 * Enginuity!$B$13) + (2 * Enginuity!$B$6), "")</f>
        <v>#VALUE!</v>
      </c>
      <c r="U807" s="103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 t="e">
        <f>IF(AND(Enginuity!$B$6&gt;0, Enginuity!$B$7&gt;0, Enginuity!$B$13&gt;0), ((2*Enginuity!$B$7*Enginuity!$B$13)+(2*Enginuity!$B$6))*2, "")</f>
        <v>#VALUE!</v>
      </c>
      <c r="U808" s="103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3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 t="str">
        <f>IF(AND(ISNUMBER(Enginuity!$B$13), Enginuity!$B$13&gt;0), Enginuity!$B$13*4, "")</f>
        <v/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 t="e">
        <f>Enginuity!$B$13*4</f>
        <v>#VALUE!</v>
      </c>
      <c r="U816" s="103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60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 t="e">
        <f>Enginuity!$B$7*Enginuity!$B$13</f>
        <v>#VALUE!</v>
      </c>
      <c r="U836" s="103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 t="e">
        <f>(Enginuity!$B$6/Enginuity!$B$13 + Enginuity!$B$7)*2*Enginuity!$B$13</f>
        <v>#VALUE!</v>
      </c>
      <c r="U837" s="103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 t="e">
        <f>ROUNDUP(((Enginuity!$B$13-1)*Enginuity!$B$7)/32.8, 0)</f>
        <v>#VALUE!</v>
      </c>
      <c r="U838" s="103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M/B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 t="e">
        <f>$Q$3</f>
        <v>#VALUE!</v>
      </c>
      <c r="U885" s="103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 t="e">
        <f>IF(AND(Enginuity!$B$7&gt;0, Enginuity!$B$13&gt;1), (Enginuity!$B$13 - 1) * Enginuity!$B$7, "")</f>
        <v>#VALUE!</v>
      </c>
      <c r="U886" s="103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12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180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 t="e">
        <f>ROUNDUP((Enginuity!$B$6*2 + Enginuity!$B$13*2*Enginuity!$B$7)/3, 0)</f>
        <v>#VALUE!</v>
      </c>
      <c r="U892" s="103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 t="e">
        <f>Enginuity!$B$6*2 + Enginuity!$B$13*2*Enginuity!$B$7</f>
        <v>#VALUE!</v>
      </c>
      <c r="U893" s="103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5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180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 t="e">
        <f>ROUNDUP((Enginuity!$B$6*2 + Enginuity!$B$13*2*Enginuity!$B$7)/3, 0)</f>
        <v>#VALUE!</v>
      </c>
      <c r="U909" s="103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 t="e">
        <f>Enginuity!$B$13 *
 IF(Enginuity!$B$7&lt;8,3,
 IF(Enginuity!$B$7&lt;10,4,
 IF(Enginuity!$B$7&lt;12,5,
 6)))</f>
        <v>#VALUE!</v>
      </c>
      <c r="U911" s="103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60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180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180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 t="e">
        <f>ROUNDUP((Enginuity!$B$6*2 + Enginuity!$B$13*2*Enginuity!$B$7)/3, 0)</f>
        <v>#VALUE!</v>
      </c>
      <c r="U942" s="103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60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60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M/B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 t="str">
        <f>IF(Enginuity!$A$17="", "", Enginuity!$B$13)</f>
        <v/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 t="str">
        <f>IF(Enginuity!$A$17="", "", Enginuity!$B$13)</f>
        <v/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M/B</v>
      </c>
      <c r="Q990" s="82">
        <f>IFERROR(
  IF(OR(Enginuity!$B$6="",Enginuity!$B$7=""),"",
     VALUE(Enginuity!$B$6)*VALUE(Enginuity!$B$7) - N(Q998)
  ),
"")</f>
        <v>60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 t="str">
        <f>IFERROR(
  IF(OR(Enginuity!$B$7="",Enginuity!$B$13="",Enginuity!$B$13=0),"",
     N(Enginuity!$B$13) * IF(N(Enginuity!$B$7)&gt;8, 2, 1)
  ),
"")</f>
        <v/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 t="str">
        <f>Enginuity!$B$13</f>
        <v/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M/B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 t="e">
        <f>ROUNDUP((Enginuity!$B$6*2 + Enginuity!$B$13*2*Enginuity!$B$7)/3, 0)</f>
        <v>#VALUE!</v>
      </c>
      <c r="U999" s="103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 t="e">
        <f>IF(Enginuity!$B$15&gt;1200, 3*Enginuity!$B$13, 2*Enginuity!$B$13)</f>
        <v>#VALUE!</v>
      </c>
      <c r="U1001" s="103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M/B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 t="e">
        <f>ROUNDUP((Enginuity!$B$6*2 + Enginuity!$B$13*2*Enginuity!$B$7)/3, 0)</f>
        <v>#VALUE!</v>
      </c>
      <c r="U1005" s="103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 t="e">
        <f>IF(Enginuity!$B$15&gt;1200, 3*Enginuity!$B$13, 2*Enginuity!$B$13)</f>
        <v>#VALUE!</v>
      </c>
      <c r="U1007" s="103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M/B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 t="e">
        <f>ROUNDUP((Enginuity!$B$6*2 + Enginuity!$B$13*2*Enginuity!$B$7)/3, 0)</f>
        <v>#VALUE!</v>
      </c>
      <c r="U1017" s="103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 t="e">
        <f>IF(Enginuity!$B$15&gt;1200, 3*Enginuity!$B$13, 2*Enginuity!$B$13)</f>
        <v>#VALUE!</v>
      </c>
      <c r="U1021" s="103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 t="e">
        <f>IF(AND(Enginuity!$B$7&gt;0, Enginuity!$B$13&gt;1), (Enginuity!$B$13 - 1) * Enginuity!$B$7, "")</f>
        <v>#VALUE!</v>
      </c>
      <c r="U1029" s="103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M/B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 t="e">
        <f>IF(AND(Enginuity!$B$7&gt;0, Enginuity!$B$13&gt;1), (Enginuity!$B$13 - 1) * Enginuity!$B$7, "")</f>
        <v>#VALUE!</v>
      </c>
      <c r="U1049" s="103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M/B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24-Box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24-Box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24-Box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 t="e">
        <f>$Q$3</f>
        <v>#VALUE!</v>
      </c>
      <c r="U1123" s="103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e">
        <f>$Q$6</f>
        <v>#VALUE!</v>
      </c>
      <c r="U1125" s="103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 t="e">
        <f>$Q$3</f>
        <v>#VALUE!</v>
      </c>
      <c r="U1131" s="103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 t="e">
        <f>$Q$6</f>
        <v>#VALUE!</v>
      </c>
      <c r="U1133" s="103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M/B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 t="e">
        <f>IF(AND(Enginuity!$B$6&gt;0, Enginuity!$B$7&gt;0, Enginuity!$B$13&gt;0), (2 * Enginuity!$B$7 * Enginuity!$B$13) + (2 * Enginuity!$B$6), "")</f>
        <v>#VALUE!</v>
      </c>
      <c r="U1152" s="103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3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 t="e">
        <f>IF(AND(Enginuity!$B$7&gt;0, Enginuity!$B$13&gt;1), (Enginuity!$B$13 - 1) * 2, "")</f>
        <v>#VALUE!</v>
      </c>
      <c r="U1154" s="103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24-Box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24-Box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46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24-Box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3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3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367.13249999999999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116.55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24-Box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24-Box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3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3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Top Hung Window / Fix Window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M/B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24-Box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24-Box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 t="str">
        <f>IF(OR(Enginuity!$B$6="",Enginuity!$B$7="",Enginuity!$B$13=""),"",
   CEILING(
      (((Enginuity!$B$7*2)+(Enginuity!$B$6*2)) * Enginuity!$B$13) / 20.013,
      1
   )
)</f>
        <v/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 t="str">
        <f>IF(OR(Enginuity!$B$6="",Enginuity!$B$7="",Enginuity!$B$13=""),"",
   CEILING(
      (((Enginuity!$B$7*2)+(Enginuity!$B$6*2)) * Enginuity!$B$13) / 20.013,
      1
   )
)</f>
        <v/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M/B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 t="e">
        <f>IF(AND(Enginuity!$B$6&gt;0, Enginuity!$B$7&gt;0, Enginuity!$B$13&gt;0), ((2*Enginuity!$B$7*Enginuity!$B$13)+(2*Enginuity!$B$6))*2, "")</f>
        <v>#VALUE!</v>
      </c>
      <c r="U1613" s="103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M/B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 t="e">
        <f>IF(AND(Enginuity!$B$6&gt;0, Enginuity!$B$7&gt;0, Enginuity!$B$13&gt;0), (2 * Enginuity!$B$7 * Enginuity!$B$13) + (2 * Enginuity!$B$6), "")</f>
        <v>#VALUE!</v>
      </c>
      <c r="U1620" s="103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 t="e">
        <f>IF(AND(Enginuity!$B$6&gt;0, Enginuity!$B$7&gt;0, Enginuity!$B$13&gt;0), ((2*Enginuity!$B$7*Enginuity!$B$13)+(2*Enginuity!$B$6))*2, "")</f>
        <v>#VALUE!</v>
      </c>
      <c r="U1621" s="103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3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 t="e">
        <f>Enginuity!$B$13*IF(TRIM(Enginuity!$A$21)="1'H X ?'W X Qty Panel Top Hung (Casement Profile)",2,1)</f>
        <v>#VALUE!</v>
      </c>
      <c r="U1623" s="103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 t="e">
        <f>Enginuity!$B$13*IF(TRIM(Enginuity!$A$21)="1'H X ?'W X Qty Panel Top Hung (Casement Profile)",2,1)</f>
        <v>#VALUE!</v>
      </c>
      <c r="U1624" s="103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 t="str">
        <f>IF(AND(ISNUMBER(Enginuity!$B$13), Enginuity!$B$13&gt;0), Enginuity!$B$13*4, "")</f>
        <v/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 t="str">
        <f>IF(AND(ISNUMBER(Enginuity!$B$13), Enginuity!$B$13&gt;0), Enginuity!$B$13*4, "")</f>
        <v/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 t="e">
        <f>Enginuity!$B$13*4</f>
        <v>#VALUE!</v>
      </c>
      <c r="U1628" s="103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 t="e">
        <f>Enginuity!$B$13*
 IF(Enginuity!$B$7&lt;5,2,
 IF(Enginuity!$B$7&lt;6,3,
 IF(Enginuity!$B$7&lt;=7,4,5)))</f>
        <v>#VALUE!</v>
      </c>
      <c r="U1629" s="103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 t="e">
        <f>Enginuity!$B$13*
 IF(Enginuity!$B$7&lt;5,2,
 IF(Enginuity!$B$7&lt;6,3,
 IF(Enginuity!$B$7&lt;=7,4,5)))</f>
        <v>#VALUE!</v>
      </c>
      <c r="U1630" s="103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 t="e">
        <f>Enginuity!$B$13*2</f>
        <v>#VALUE!</v>
      </c>
      <c r="U1631" s="103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 t="e">
        <f>Enginuity!$B$13*2</f>
        <v>#VALUE!</v>
      </c>
      <c r="U1632" s="103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 t="e">
        <f>Enginuity!$B$13*1</f>
        <v>#VALUE!</v>
      </c>
      <c r="U1633" s="103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 t="e">
        <f>$Q$3</f>
        <v>#VALUE!</v>
      </c>
      <c r="U1638" s="103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 t="e">
        <f>Enginuity!$B$7*Enginuity!$B$13</f>
        <v>#VALUE!</v>
      </c>
      <c r="U1640" s="103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24-Box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M/B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 t="e">
        <f>IF(AND(Enginuity!$B$6&gt;0, Enginuity!$B$7&gt;0, Enginuity!$B$13&gt;0), (2 * Enginuity!$B$7 * Enginuity!$B$13) + (2 * Enginuity!$B$6), "")</f>
        <v>#VALUE!</v>
      </c>
      <c r="U1666" s="103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 t="e">
        <f>IF(AND(Enginuity!$B$6&gt;0, Enginuity!$B$7&gt;0, Enginuity!$B$13&gt;0), ((2*Enginuity!$B$7*Enginuity!$B$13)+(2*Enginuity!$B$6))*2, "")</f>
        <v>#VALUE!</v>
      </c>
      <c r="U1667" s="103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3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 t="e">
        <f>IF(MOD(Enginuity!$B$13,2)=1,1,0)</f>
        <v>#VALUE!</v>
      </c>
      <c r="U1669" s="103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 t="e">
        <f>FLOOR(Enginuity!$B$13/2,1)</f>
        <v>#VALUE!</v>
      </c>
      <c r="U1670" s="103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 t="str">
        <f>IF(AND(ISNUMBER(Enginuity!$B$13), Enginuity!$B$13&gt;0), Enginuity!$B$13*4, "")</f>
        <v/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 t="e">
        <f>FLOOR(Enginuity!$B$13/2,1)</f>
        <v>#VALUE!</v>
      </c>
      <c r="U1672" s="103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 t="e">
        <f>(Enginuity!$B$13*
  IF(Enginuity!$B$7&lt;=7,3,
  IF(Enginuity!$B$7&lt;=9,4,
  IF(Enginuity!$B$7&lt;=11,5,6))))
  - (2*FLOOR((Enginuity!$B$13-1)/2,1))</f>
        <v>#VALUE!</v>
      </c>
      <c r="U1673" s="103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 t="e">
        <f>FLOOR(Enginuity!$B$13/2,1)</f>
        <v>#VALUE!</v>
      </c>
      <c r="U1674" s="103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 t="e">
        <f>(FLOOR(Enginuity!$B$13/2,1)*2)+IF(MOD(Enginuity!$B$13,2)=1,2,0)</f>
        <v>#VALUE!</v>
      </c>
      <c r="U1675" s="103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 t="e">
        <f>IF(AND(Enginuity!$B$6&gt;0,Enginuity!$B$7&gt;0,Enginuity!$B$13&gt;0),
   ROUND(2*(Enginuity!$B$6+Enginuity!$B$7)*Enginuity!$B$13,2),
"")</f>
        <v>#VALUE!</v>
      </c>
      <c r="U1685" s="103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5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 t="e">
        <f>Enginuity!$B$7*Enginuity!$B$13</f>
        <v>#VALUE!</v>
      </c>
      <c r="U1687" s="103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24-Box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 t="str">
        <f>IF(OR(Enginuity!$B$6="",Enginuity!$B$7="",Enginuity!$B$13=""),"",
  2*(Enginuity!$B$6+Enginuity!$B$7)*Enginuity!$B$13*2
)</f>
        <v/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3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 t="e">
        <f>IF(MOD(Enginuity!$B$13,2)=1,1,0)</f>
        <v>#VALUE!</v>
      </c>
      <c r="U1705" s="103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 t="str">
        <f>IF(AND(ISNUMBER(Enginuity!$B$13), Enginuity!$B$13&gt;0), Enginuity!$B$13*4, "")</f>
        <v/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 t="str">
        <f>IF(OR(Enginuity!$B$7="",Enginuity!$B$13=""),"",
Enginuity!$B$13*
IF(Enginuity!$B$7&lt;=7,4,
IF(Enginuity!$B$7&lt;=9,5,
IF(Enginuity!$B$7&lt;=11,6,7))))</f>
        <v/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 t="e">
        <f>(FLOOR(Enginuity!$B$13/2,1)*2)+IF(MOD(Enginuity!$B$13,2)=1,2,0)</f>
        <v>#VALUE!</v>
      </c>
      <c r="U1709" s="103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 t="str">
        <f>IF(OR(Enginuity!$B$13="",Enginuity!$B$13=0),"",Enginuity!$B$13*2)</f>
        <v/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1276.5999999999999</v>
      </c>
      <c r="P1711" s="14" t="str">
        <f>IF(Enginuity!$A$19="","", "Dual Security Door Insert c/w SS Mesh + " &amp; Enginuity!$A$19)</f>
        <v>Dual Security Door Insert c/w SS Mesh + M/B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 t="e">
        <f>IF(AND(Enginuity!$B$6&gt;0,Enginuity!$B$7&gt;0,Enginuity!$B$13&gt;0),
   ROUND(2*(Enginuity!$B$6+Enginuity!$B$7)*Enginuity!$B$13,2),
"")</f>
        <v>#VALUE!</v>
      </c>
      <c r="U1734" s="103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 t="e">
        <f>IF(AND(Enginuity!$B$6&gt;0,Enginuity!$B$7&gt;0,Enginuity!$B$13&gt;0),
   ROUND(2*(Enginuity!$B$6+Enginuity!$B$7)*Enginuity!$B$13,2),
"")</f>
        <v>#VALUE!</v>
      </c>
      <c r="U1735" s="103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 t="str">
        <f>IF(OR(Enginuity!$B$7="",Enginuity!$B$13=""),"",Enginuity!$B$7*Enginuity!$B$13*2)</f>
        <v/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 t="str">
        <f>IF(Enginuity!$B$13="","",Enginuity!$B$13)</f>
        <v/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 t="str">
        <f>IF(Enginuity!$B$13="","",Enginuity!$B$13)</f>
        <v/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 t="str">
        <f>IF(Enginuity!$B$13="","",Enginuity!$B$13)</f>
        <v/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 t="str">
        <f>IF(OR(Enginuity!$B$13="",Enginuity!$B$13=0),"",Enginuity!$B$13*2)</f>
        <v/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 t="str">
        <f>IF(Enginuity!$B$13="","",Enginuity!$B$13)</f>
        <v/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 t="str">
        <f>IF(OR(Enginuity!$B$13="",Enginuity!$B$13=0),"",Enginuity!$B$13*8)</f>
        <v/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 t="str">
        <f>IF(OR(Enginuity!$B$13="",Enginuity!$B$13=0),"",Enginuity!$B$13*8)</f>
        <v/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 t="str">
        <f>IF(OR(Enginuity!$B$13="",Enginuity!$B$13=0),"",Enginuity!$B$13*2)</f>
        <v/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 t="str">
        <f>IF(Enginuity!$B$13="","",Enginuity!$B$13*20)</f>
        <v/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 t="str">
        <f>IF(Enginuity!$B$13="","",Enginuity!$B$13*20)</f>
        <v/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 t="str">
        <f>IF(OR(Enginuity!$B$6="",Enginuity!$B$7="",Enginuity!$B$13=""),"",
  2*(Enginuity!$B$6+Enginuity!$B$7)*Enginuity!$B$13*2
)</f>
        <v/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 t="str">
        <f>IF(OR(Enginuity!$B$6="",Enginuity!$B$7="",Enginuity!$B$13=""),"",
  2*(Enginuity!$B$6+Enginuity!$B$7)*Enginuity!$B$13*2
)</f>
        <v/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M/B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 t="e">
        <f>IF(COUNTA(Q1733:Q1750,O1733:O1750)=0,"",SUMPRODUCT(Q1733:Q1750,O1733:O1750))</f>
        <v>#VALUE!</v>
      </c>
      <c r="Q1752" s="82"/>
      <c r="U1752" s="103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17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17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17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220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15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11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11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11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▼ [Service Mode] Top Hung Window / Fix Window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▼ [Service Mode] Top Hung Window / Fix Window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▼ [Service Mode] Top Hung Window / Fix Window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▼ [Service Mode] Top Hung Window / Fix Window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M/B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 t="e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#DIV/0!</v>
      </c>
      <c r="U2038" s="103" t="e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>#DIV/0!</v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 t="e">
        <f>IF(OR(Enginuity!$B$6="",Enginuity!$B$15=""),
   "",
   CEILING(
      (
         Enginuity!$B$6*304.8 +
         (MAX(0,ROUNDUP(Enginuity!$B$6*304.8/Enginuity!$B$15,0)-1))*1000
      )*24/24716,
   1)
)</f>
        <v>#DIV/0!</v>
      </c>
      <c r="U2039" s="103" t="e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>#DIV/0!</v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M/B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 t="e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#DIV/0!</v>
      </c>
      <c r="U2041" s="103" t="e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>#DIV/0!</v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 t="e">
        <f>IF(AND(Enginuity!$B$7&gt;0, Enginuity!$B$13&gt;0), Enginuity!$B$7 * Enginuity!$B$13, "")</f>
        <v>#VALUE!</v>
      </c>
      <c r="U2202" s="103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 t="e">
        <f>IF(AND(Enginuity!$B$7&gt;0, Enginuity!$B$13&gt;0), Enginuity!$B$7 * Enginuity!$B$13, "")</f>
        <v>#VALUE!</v>
      </c>
      <c r="U2203" s="103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5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24-Box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 t="e">
        <f>IF(AND(Enginuity!$B$7&gt;0, Enginuity!$B$13&gt;0), Enginuity!$B$7 * Enginuity!$B$13, "")</f>
        <v>#VALUE!</v>
      </c>
      <c r="U2220" s="103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 t="e">
        <f>IF(AND(Enginuity!$B$7&gt;0, Enginuity!$B$13&gt;0), Enginuity!$B$7 * Enginuity!$B$13, "")</f>
        <v>#VALUE!</v>
      </c>
      <c r="U2221" s="103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5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24-Box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M/B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 t="e">
        <f>IF(AND(Enginuity!$B$6&gt;0, Enginuity!$B$7&gt;0, Enginuity!$B$13&gt;0), (2 * Enginuity!$B$7 * Enginuity!$B$13) + (2 * Enginuity!$B$6), "")</f>
        <v>#VALUE!</v>
      </c>
      <c r="U2235" s="103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 t="e">
        <f>IF(AND(Enginuity!$B$6&gt;0, Enginuity!$B$7&gt;0, Enginuity!$B$13&gt;0), ((2*Enginuity!$B$7*Enginuity!$B$13)+(2*Enginuity!$B$6))*2, "")</f>
        <v>#VALUE!</v>
      </c>
      <c r="U2236" s="103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3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 t="str">
        <f>Enginuity!$B$13</f>
        <v/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 t="e">
        <f>Enginuity!$B$13*4</f>
        <v>#VALUE!</v>
      </c>
      <c r="U2241" s="103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 t="e">
        <f>Enginuity!$B$13*2</f>
        <v>#VALUE!</v>
      </c>
      <c r="U2242" s="103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 t="e">
        <f>$Q$3</f>
        <v>#VALUE!</v>
      </c>
      <c r="U2244" s="103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 t="e">
        <f>$Q$6</f>
        <v>#VALUE!</v>
      </c>
      <c r="U2246" s="103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 t="e">
        <f>$Q$3</f>
        <v>#VALUE!</v>
      </c>
      <c r="U2252" s="103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e">
        <f>$Q$6</f>
        <v>#VALUE!</v>
      </c>
      <c r="U2254" s="103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M/B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 t="e">
        <f>IF(AND(Enginuity!$B$6&gt;0, Enginuity!$B$7&gt;0, Enginuity!$B$13&gt;0), (2 * Enginuity!$B$7 * Enginuity!$B$13) + (2 * Enginuity!$B$6), "")</f>
        <v>#VALUE!</v>
      </c>
      <c r="U2273" s="103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3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 t="e">
        <f>IF(AND(Enginuity!$B$7&gt;0, Enginuity!$B$13&gt;1), (Enginuity!$B$13 - 1) * 2, "")</f>
        <v>#VALUE!</v>
      </c>
      <c r="U2275" s="103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Top Hung Window / Fix Window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M/B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24-Box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Top Hung Window / Fix Window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M/B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 t="e">
        <f>$C$38</f>
        <v>#VALUE!</v>
      </c>
      <c r="J3" s="327" t="e">
        <f>$C$39</f>
        <v>#VALUE!</v>
      </c>
      <c r="K3" s="327" t="e">
        <f>$C$40</f>
        <v>#VALUE!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 t="e">
        <f>I3</f>
        <v>#VALUE!</v>
      </c>
      <c r="R3" s="328" t="e">
        <f t="shared" ref="R3:S5" si="1">J3</f>
        <v>#VALUE!</v>
      </c>
      <c r="S3" s="328" t="e">
        <f t="shared" si="1"/>
        <v>#VALUE!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 t="e">
        <f t="shared" ref="I4:I12" si="2">$C$38</f>
        <v>#VALUE!</v>
      </c>
      <c r="J4" s="358" t="e">
        <f>$C$39</f>
        <v>#VALUE!</v>
      </c>
      <c r="K4" s="327" t="e">
        <f t="shared" ref="K4:K12" si="3">$C$40</f>
        <v>#VALUE!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 t="e">
        <f t="shared" ref="Q4:Q5" si="5">I4</f>
        <v>#VALUE!</v>
      </c>
      <c r="R4" s="328" t="e">
        <f t="shared" si="1"/>
        <v>#VALUE!</v>
      </c>
      <c r="S4" s="328" t="e">
        <f t="shared" si="1"/>
        <v>#VALUE!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1524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 t="e">
        <f t="shared" si="2"/>
        <v>#VALUE!</v>
      </c>
      <c r="J5" s="327" t="e">
        <f t="shared" ref="J5:J12" si="7">$C$39</f>
        <v>#VALUE!</v>
      </c>
      <c r="K5" s="327" t="e">
        <f t="shared" si="3"/>
        <v>#VALUE!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 t="e">
        <f t="shared" si="5"/>
        <v>#VALUE!</v>
      </c>
      <c r="R5" s="328" t="e">
        <f t="shared" si="1"/>
        <v>#VALUE!</v>
      </c>
      <c r="S5" s="328" t="e">
        <f t="shared" si="1"/>
        <v>#VALUE!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 t="str">
        <f>Enginuity!B13</f>
        <v/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 t="e">
        <f t="shared" si="2"/>
        <v>#VALUE!</v>
      </c>
      <c r="J6" s="327" t="e">
        <f t="shared" si="7"/>
        <v>#VALUE!</v>
      </c>
      <c r="K6" s="327" t="e">
        <f t="shared" si="3"/>
        <v>#VALUE!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 t="e">
        <f t="shared" si="2"/>
        <v>#VALUE!</v>
      </c>
      <c r="J7" s="327" t="e">
        <f t="shared" si="7"/>
        <v>#VALUE!</v>
      </c>
      <c r="K7" s="327" t="e">
        <f t="shared" si="3"/>
        <v>#VALUE!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 t="e">
        <f t="shared" si="2"/>
        <v>#VALUE!</v>
      </c>
      <c r="J8" s="327" t="e">
        <f t="shared" si="7"/>
        <v>#VALUE!</v>
      </c>
      <c r="K8" s="327" t="e">
        <f t="shared" si="3"/>
        <v>#VALUE!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 t="e">
        <f t="shared" si="2"/>
        <v>#VALUE!</v>
      </c>
      <c r="J9" s="327" t="e">
        <f t="shared" si="7"/>
        <v>#VALUE!</v>
      </c>
      <c r="K9" s="327" t="e">
        <f t="shared" si="3"/>
        <v>#VALUE!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 t="e">
        <f t="shared" si="2"/>
        <v>#VALUE!</v>
      </c>
      <c r="J10" s="327" t="e">
        <f t="shared" si="7"/>
        <v>#VALUE!</v>
      </c>
      <c r="K10" s="327" t="e">
        <f t="shared" si="3"/>
        <v>#VALUE!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 t="e">
        <f>C25</f>
        <v>#VALUE!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 t="e">
        <f t="shared" si="2"/>
        <v>#VALUE!</v>
      </c>
      <c r="J11" s="327" t="e">
        <f t="shared" si="7"/>
        <v>#VALUE!</v>
      </c>
      <c r="K11" s="327" t="e">
        <f t="shared" si="3"/>
        <v>#VALUE!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 t="e">
        <f t="shared" si="2"/>
        <v>#VALUE!</v>
      </c>
      <c r="J12" s="327" t="e">
        <f t="shared" si="7"/>
        <v>#VALUE!</v>
      </c>
      <c r="K12" s="327" t="e">
        <f t="shared" si="3"/>
        <v>#VALUE!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 t="e">
        <f>SUM(I3:I11)</f>
        <v>#VALUE!</v>
      </c>
      <c r="J15" s="93" t="e">
        <f>SUM(J3:J11)</f>
        <v>#VALUE!</v>
      </c>
      <c r="K15" s="93" t="e">
        <f>SUM(K3:K11)</f>
        <v>#VALUE!</v>
      </c>
      <c r="L15" s="281"/>
      <c r="O15" s="1"/>
      <c r="P15" s="1"/>
      <c r="Q15" s="93" t="e">
        <f>SUM(Q3:Q12)</f>
        <v>#VALUE!</v>
      </c>
      <c r="R15" s="93" t="e">
        <f>SUM(R3:R11)</f>
        <v>#VALUE!</v>
      </c>
      <c r="S15" s="93" t="e">
        <f>SUM(S3:S11)</f>
        <v>#VALUE!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 t="e">
        <f>IF(W15=0,0,W10/W15)</f>
        <v>#VALUE!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 t="e">
        <f>IF(W4=0,0,W16/W4)</f>
        <v>#VALUE!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 t="e">
        <f>W17*1.15</f>
        <v>#VALUE!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15</v>
      </c>
      <c r="C25" s="361" t="e">
        <f>B25*$B$6</f>
        <v>#VALUE!</v>
      </c>
    </row>
    <row r="26" spans="1:40" x14ac:dyDescent="0.25">
      <c r="A26" s="337" t="s">
        <v>1719</v>
      </c>
      <c r="B26" s="356" t="str">
        <f>IF(OR($C$49="",$B$6=""),"",ROUND(($C$49/$B$6)-(2*$B$18),3))</f>
        <v/>
      </c>
      <c r="C26" s="361" t="str">
        <f>B26</f>
        <v/>
      </c>
    </row>
    <row r="27" spans="1:40" x14ac:dyDescent="0.25">
      <c r="A27" s="337" t="s">
        <v>1720</v>
      </c>
      <c r="B27" s="356">
        <f>$C$46</f>
        <v>96.542857142857159</v>
      </c>
      <c r="C27" s="361">
        <f>B27</f>
        <v>96.542857142857159</v>
      </c>
    </row>
    <row r="28" spans="1:40" x14ac:dyDescent="0.25">
      <c r="A28" s="337" t="s">
        <v>1721</v>
      </c>
      <c r="B28" s="362">
        <f>$C$47</f>
        <v>96.542857142857159</v>
      </c>
      <c r="C28" s="381">
        <f>B28</f>
        <v>96.542857142857159</v>
      </c>
    </row>
    <row r="29" spans="1:40" x14ac:dyDescent="0.25">
      <c r="A29" s="337" t="s">
        <v>1722</v>
      </c>
      <c r="B29" s="363">
        <f>ROUND($C$48,10)</f>
        <v>96.542857142900004</v>
      </c>
      <c r="C29" s="364">
        <f>B29</f>
        <v>96.542857142900004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 t="e">
        <f>IF(B30="","",B30*$B$6)</f>
        <v>#VALUE!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1473.2</v>
      </c>
      <c r="C31" s="365">
        <f>B31</f>
        <v>1473.2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1524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1473.2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 t="e">
        <f>IF(OR($B$3="",$B$6="",$C$57=""),"",ROUND($C$57/($B$3*$B$6),3))</f>
        <v>#VALUE!</v>
      </c>
      <c r="C38" s="361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 t="e">
        <f>IF(OR($B$3="",$B$6="",$C$58=""),"",ROUND($C$58/($B$3*$B$6),3))</f>
        <v>#VALUE!</v>
      </c>
      <c r="C39" s="361" t="e">
        <f>$C$58</f>
        <v>#VALUE!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 t="e">
        <f>IF(OR($B$3="",$B$6="",$C$61=""),"",ROUND($C$61/($B$3*$B$6),3))</f>
        <v>#VALUE!</v>
      </c>
      <c r="C40" s="361" t="e">
        <f>$C$61</f>
        <v>#VALUE!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96.542857142857159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96.542857142857159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96.542857142900004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1473.2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1524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 t="e">
        <f>MAX($B$6-1,0)</f>
        <v>#VALUE!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1473.2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 t="e">
        <f>IF(OR($C$25="",$B$26="",$B$17=""),"",ROUNDUP(($C$25*$B$3)/INT(($B$17+$B$20)/($B$26+$B$20)),0))</f>
        <v>#VALUE!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 t="e">
        <f>IF(OR($C$30="",$B$31="",$B$17=""),"",ROUNDUP(($C$30*$B$3)/INT(($B$17+$B$20)/($B$31+$B$20)),0))</f>
        <v>#VALUE!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 t="e">
        <f>IF($C$55=0,0,ROUNDUP(($C$55*$B$3)/INT(($B$17+$B$20)/($C$56+$B$20)),0))</f>
        <v>#VALUE!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 t="e">
        <f>IF($B$17="","",CEILING((((((($C$53*$C$51)+($C$54*$C$52)+($C$55*$C$56))*$B$3)+MAX((($C$53+$C$54+$C$55)*$B$3)-1,0)*$B$20)/$B$17)),1))</f>
        <v>#VALUE!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2026-04-22T01:53:36Z</dcterms:modified>
</cp:coreProperties>
</file>