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3DDBF4FD-DB52-46DA-8C51-30AED80861D9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ount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m" hidden="1" xlm="1">#NAME?</definedName>
    <definedName name="_xlpm.vMarks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Dropdown!$F$2:INDEX(Dropdown!$F$2:$F$40,IFERROR(MATCH(2,1/(Dropdown!$F$2:$F$40&lt;&gt;""),1),1))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91" i="38" l="1" a="1"/>
  <c r="P91" i="38" s="1"/>
  <c r="B42" i="19" a="1"/>
  <c r="F2" i="19" a="1"/>
  <c r="F91" i="38"/>
  <c r="F71" i="38"/>
  <c r="F521" i="38"/>
  <c r="F491" i="38"/>
  <c r="F461" i="38"/>
  <c r="F431" i="38"/>
  <c r="F401" i="38"/>
  <c r="F371" i="38"/>
  <c r="F341" i="38"/>
  <c r="G311" i="38"/>
  <c r="F311" i="38"/>
  <c r="F281" i="38"/>
  <c r="F251" i="38"/>
  <c r="F221" i="38"/>
  <c r="F191" i="38"/>
  <c r="F161" i="38"/>
  <c r="F101" i="38"/>
  <c r="F2" i="19" l="1"/>
  <c r="B42" i="19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273" i="38" l="1" a="1"/>
  <c r="W273" i="38" s="1"/>
  <c r="W359" i="38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F1" i="19" l="1" a="1"/>
  <c r="F1" i="19" s="1"/>
  <c r="B41" i="19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B17" i="1" l="1" a="1"/>
  <c r="B17" i="1" s="1"/>
  <c r="B32" i="1" a="1"/>
  <c r="B32" i="1" s="1"/>
  <c r="B15" i="1" a="1"/>
  <c r="B15" i="1" s="1"/>
  <c r="L2" i="19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Y27" i="36"/>
  <c r="AC27" i="36" s="1"/>
  <c r="Y26" i="36"/>
  <c r="AC26" i="36" s="1"/>
  <c r="W177" i="38" s="1" a="1"/>
  <c r="W177" i="38" s="1"/>
  <c r="Y25" i="36"/>
  <c r="AC25" i="36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W457" i="38" s="1" a="1"/>
  <c r="W457" i="38" s="1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427" i="38" l="1" a="1"/>
  <c r="W427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K22" i="32" s="1"/>
  <c r="G15" i="32"/>
  <c r="K15" i="32" s="1"/>
  <c r="K21" i="32"/>
  <c r="K23" i="32"/>
  <c r="K13" i="32"/>
  <c r="L13" i="32" s="1"/>
  <c r="K19" i="32"/>
  <c r="J22" i="32"/>
  <c r="C56" i="35"/>
  <c r="B31" i="35"/>
  <c r="C31" i="35" s="1"/>
  <c r="C59" i="35"/>
  <c r="Q2294" i="10"/>
  <c r="F23" i="34"/>
  <c r="H13" i="34"/>
  <c r="B44" i="34"/>
  <c r="AM5" i="33"/>
  <c r="AM4" i="33"/>
  <c r="J16" i="32" l="1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F5" i="34" l="1"/>
  <c r="F16" i="34"/>
  <c r="B40" i="34"/>
  <c r="I21" i="33"/>
  <c r="G5" i="34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I5" i="34" s="1"/>
  <c r="G16" i="34"/>
  <c r="H16" i="34" s="1"/>
  <c r="B42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F53" i="25" l="1"/>
  <c r="F7" i="25"/>
  <c r="F8" i="25"/>
  <c r="F52" i="25"/>
  <c r="V295" i="38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427" i="38" s="1"/>
  <c r="P427" i="38" s="1" a="1"/>
  <c r="P427" i="38" s="1"/>
  <c r="V6" i="38"/>
  <c r="V9" i="38"/>
  <c r="P9" i="38" s="1"/>
  <c r="V92" i="38"/>
  <c r="P92" i="38" s="1" a="1"/>
  <c r="P92" i="38" s="1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77" i="38" l="1"/>
  <c r="P477" i="38" s="1" a="1"/>
  <c r="P477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13" i="38" l="1" a="1"/>
  <c r="W113" i="38" s="1"/>
  <c r="P113" i="38" s="1" a="1"/>
  <c r="P113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W112" i="38"/>
  <c r="P112" i="38" s="1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S3" i="35" l="1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<sst xmlns="http://schemas.openxmlformats.org/spreadsheetml/2006/main" count="12247" uniqueCount="2152">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</sst>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21" sqref="A21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5ftH  Aluminium &amp; Glass Standard  Panel Supply &amp; Delivery Swing Door 4" Profile P/C Z-Louvre Blade - 2" 24-Box Lattice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5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5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60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403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2067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1813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1969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2087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167.976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#DIV/0!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#DIV/0!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73" zoomScale="70" zoomScaleNormal="70" workbookViewId="0">
      <selection activeCell="P92" sqref="P92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2.02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456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1.98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1.58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15.048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192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4.8499999999999996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3.55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15.52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2.25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418" t="s">
        <v>254</v>
      </c>
      <c r="B61" s="414" t="s">
        <v>1845</v>
      </c>
      <c r="C61" s="414" t="s">
        <v>3</v>
      </c>
      <c r="D61" s="414" t="s">
        <v>1791</v>
      </c>
      <c r="E61" s="414" t="str" cm="1">
        <f t="array" ref="E61:E70">IFERROR(INDEX(_xlfn._xlws.FILTER(CostData!$P$3:$P$12,CostData!$P$3:$P$12&lt;&gt;""),_xlfn.SEQUENCE(10)),"")</f>
        <v>Default</v>
      </c>
      <c r="F61" s="414"/>
      <c r="G61" s="414" t="str">
        <f>"▼ [Fix - Casement]"</f>
        <v>▼ [Fix - Casement]</v>
      </c>
      <c r="H61" s="414" t="str">
        <f>"▼ [Hung Window - Casement]"</f>
        <v>▼ [Hung Window - Casement]</v>
      </c>
      <c r="I61" s="414" t="s">
        <v>1857</v>
      </c>
      <c r="J61" s="414" t="s">
        <v>1858</v>
      </c>
      <c r="K61" s="414" t="s">
        <v>1859</v>
      </c>
      <c r="L61" s="414" t="s">
        <v>1860</v>
      </c>
      <c r="M61" s="419">
        <v>0.54649999999999999</v>
      </c>
      <c r="N61" s="414">
        <v>609.6</v>
      </c>
      <c r="O61" s="414"/>
      <c r="P61" s="408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408" t="str" cm="1">
        <f t="array" ref="Q61">_xlfn.LET(_xlpm.cd,INDEX($S:$S,ROW()),IF(_xlpm.cd="","",IFERROR(_xlfn.XLOOKUP(_xlpm.cd,CostData!$C$22:$C$1000,CostData!$B$22:$B$1000,""),"")))</f>
        <v>Aluminium</v>
      </c>
      <c r="R61" s="424" t="s">
        <v>1811</v>
      </c>
      <c r="S61" s="416" t="s">
        <v>1924</v>
      </c>
      <c r="T61" s="408" t="str" cm="1">
        <f t="array" ref="T61">_xlfn.LET(_xlpm.cd,INDEX($S:$S,ROW()),IF(_xlpm.cd="","",IFERROR(_xlfn.XLOOKUP(_xlpm.cd,CostData!$C$22:$C$1000,CostData!$E$22:$E$1000,""),"")))</f>
        <v>Outer</v>
      </c>
      <c r="U61" s="408" t="s">
        <v>103</v>
      </c>
      <c r="V61" s="4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61" s="42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G62" s="369" t="s">
        <v>1865</v>
      </c>
      <c r="H62" s="369" t="s">
        <v>1865</v>
      </c>
      <c r="P62" s="1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G63" s="369" t="s">
        <v>1866</v>
      </c>
      <c r="H63" s="369" t="s">
        <v>1866</v>
      </c>
      <c r="P63" s="1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F71" s="369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F72" s="369" t="s">
        <v>2085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F73" s="369" t="s">
        <v>2086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F74" s="369" t="s">
        <v>2087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>⬒ Z-Louvre Blade - 2"</v>
      </c>
      <c r="T77" s="1" t="str">
        <f>IF(Enginuity!$A$20="","",Enginuity!$A$20)</f>
        <v>Z-Louvre Blade - 2"</v>
      </c>
      <c r="U77" s="1" t="s">
        <v>121</v>
      </c>
      <c r="V77" s="1">
        <f>IF(Enginuity!$B$9="","",Enginuity!$B$9)</f>
        <v>60</v>
      </c>
      <c r="W77" s="399">
        <f>IFERROR(INDEX(CostData!$Q$3:$Q$12,MATCH(TRIM(Enginuity!$A$20),CostData!$P$3:$P$12,0)),"")</f>
        <v>15.048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60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 t="e">
        <f>IF(SUM($V$63:$V$64)=0,"",SUM($V$63:$V$64)*2)</f>
        <v>#VALUE!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/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_xlfn.LET(_xlpm.w,Enginuity!$B$6,_xlpm.h,Enginuity!$B$7,_xlpm.tot,IF(_xlpm.h&gt;8,_xlpm.w,0),IF(_xlpm.tot=0,"",_xlpm.tot))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_xlfn.LET(_xlpm.w,Enginuity!$B$6,_xlpm.h,Enginuity!$B$7,_xlpm.tot,IF(_xlpm.h&gt;8,_xlpm.w,0),IF(_xlpm.tot=0,"",_xlpm.tot))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C101" s="369" t="s">
        <v>1989</v>
      </c>
      <c r="F101" s="369" t="str">
        <f>"▼ [Lattice Option]"</f>
        <v>▼ [Lattice Option]</v>
      </c>
      <c r="P101" s="1" t="str" cm="1">
        <f t="array" ref="P10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C102" s="369" t="s">
        <v>1989</v>
      </c>
      <c r="F102" s="369" t="s">
        <v>2085</v>
      </c>
      <c r="P102" s="1" t="str" cm="1">
        <f t="array" ref="P10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_xlfn.LET(_xlpm.w,Enginuity!$B$6,_xlpm.h,Enginuity!$B$7,_xlpm.tot,IF(_xlpm.h&gt;8,_xlpm.w,0),IF(_xlpm.tot=0,"",_xlpm.tot))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C103" s="369" t="s">
        <v>1989</v>
      </c>
      <c r="F103" s="369" t="s">
        <v>2086</v>
      </c>
      <c r="P103" s="1" t="str" cm="1">
        <f t="array" ref="P10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C104" s="369" t="s">
        <v>1989</v>
      </c>
      <c r="F104" s="369" t="s">
        <v>2087</v>
      </c>
      <c r="P104" s="1" t="str" cm="1">
        <f t="array" ref="P10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>⬒ Z-Louvre Blade - 2"</v>
      </c>
      <c r="T112" s="1" t="str">
        <f>IF(Enginuity!$A$20="","",Enginuity!$A$20)</f>
        <v>Z-Louvre Blade - 2"</v>
      </c>
      <c r="U112" s="1" t="s">
        <v>121</v>
      </c>
      <c r="V112" s="1">
        <f>IF(Enginuity!$B$9="","",Enginuity!$B$9)</f>
        <v>60</v>
      </c>
      <c r="W112" s="399">
        <f>IFERROR(INDEX(CostData!$Q$3:$Q$12,MATCH(TRIM(Enginuity!$A$20),CostData!$P$3:$P$12,0)),"")</f>
        <v>15.048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>
        <f>IF(OR(TRIM(Enginuity!A21)=TRIM(G92),TRIM(Enginuity!A22)=TRIM(G92)),1,"")</f>
        <v>1</v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68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414"/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F161" s="369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F162" s="369" t="s">
        <v>2085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24-Box Lattice</v>
      </c>
      <c r="T162" s="1" t="str">
        <f>IF(Enginuity!$A$21="","",Enginuity!$A$21)</f>
        <v>24-Box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F163" s="369" t="s">
        <v>2086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F164" s="369" t="s">
        <v>2087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Z-Louvre Blade - 2"</v>
      </c>
      <c r="T167" s="1" t="str">
        <f>IF(Enginuity!$A$20="","",Enginuity!$A$20)</f>
        <v>Z-Louvre Blade - 2"</v>
      </c>
      <c r="U167" s="1" t="s">
        <v>121</v>
      </c>
      <c r="V167" s="1">
        <f>IF(Enginuity!$B$9="","",Enginuity!$B$9)</f>
        <v>60</v>
      </c>
      <c r="W167" s="399">
        <f>IFERROR(INDEX(CostData!$Q$3:$Q$12,MATCH(TRIM(Enginuity!$A$20),CostData!$P$3:$P$12,0)),"")</f>
        <v>15.048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414"/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F191" s="369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F192" s="369" t="s">
        <v>2085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F193" s="369" t="s">
        <v>2086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F194" s="369" t="s">
        <v>2087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Z-Louvre Blade - 2"</v>
      </c>
      <c r="T197" s="1" t="str">
        <f>IF(Enginuity!$A$20="","",Enginuity!$A$20)</f>
        <v>Z-Louvre Blade - 2"</v>
      </c>
      <c r="U197" s="1" t="s">
        <v>121</v>
      </c>
      <c r="V197" s="1">
        <f>IF(Enginuity!$B$9="","",Enginuity!$B$9)</f>
        <v>60</v>
      </c>
      <c r="W197" s="399">
        <f>IFERROR(INDEX(CostData!$Q$3:$Q$12,MATCH(TRIM(Enginuity!$A$20),CostData!$P$3:$P$12,0)),"")</f>
        <v>15.048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414"/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F221" s="369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F222" s="369" t="s">
        <v>2085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F223" s="369" t="s">
        <v>2086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F224" s="369" t="s">
        <v>2087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Z-Louvre Blade - 2"</v>
      </c>
      <c r="T227" s="1" t="str">
        <f>IF(Enginuity!$A$20="","",Enginuity!$A$20)</f>
        <v>Z-Louvre Blade - 2"</v>
      </c>
      <c r="U227" s="1" t="s">
        <v>121</v>
      </c>
      <c r="V227" s="1">
        <f>IF(Enginuity!$B$9="","",Enginuity!$B$9)</f>
        <v>60</v>
      </c>
      <c r="W227" s="399">
        <f>IFERROR(INDEX(CostData!$Q$3:$Q$12,MATCH(TRIM(Enginuity!$A$20),CostData!$P$3:$P$12,0)),"")</f>
        <v>15.048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414"/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F251" s="369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F252" s="369" t="s">
        <v>2085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F253" s="369" t="s">
        <v>2086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F254" s="369" t="s">
        <v>2087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Z-Louvre Blade - 2"</v>
      </c>
      <c r="T257" s="1" t="str">
        <f>IF(Enginuity!$A$20="","",Enginuity!$A$20)</f>
        <v>Z-Louvre Blade - 2"</v>
      </c>
      <c r="U257" s="1" t="s">
        <v>121</v>
      </c>
      <c r="V257" s="1">
        <f>IF(Enginuity!$B$9="","",Enginuity!$B$9)</f>
        <v>60</v>
      </c>
      <c r="W257" s="399">
        <f>IFERROR(INDEX(CostData!$Q$3:$Q$12,MATCH(TRIM(Enginuity!$A$20),CostData!$P$3:$P$12,0)),"")</f>
        <v>15.048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414"/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8.69</v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8.69</v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1.67</v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169.20013829938125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F281" s="369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F282" s="369" t="s">
        <v>2085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F283" s="369" t="s">
        <v>2086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169.20013829938125</v>
      </c>
    </row>
    <row r="284" spans="1:23" x14ac:dyDescent="0.25">
      <c r="A284" s="274" t="s">
        <v>254</v>
      </c>
      <c r="C284" s="369" t="s">
        <v>2067</v>
      </c>
      <c r="F284" s="369" t="s">
        <v>2087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>287</v>
      </c>
      <c r="Q287" s="1" t="s">
        <v>1832</v>
      </c>
      <c r="R287" s="16" t="str">
        <f>IF($T287="","","⬒ "&amp;$T287)</f>
        <v>⬒ Z-Louvre Blade - 2"</v>
      </c>
      <c r="T287" s="1" t="str">
        <f>IF(Enginuity!$A$20="","",Enginuity!$A$20)</f>
        <v>Z-Louvre Blade - 2"</v>
      </c>
      <c r="U287" s="1" t="s">
        <v>121</v>
      </c>
      <c r="V287" s="1">
        <f>IF(Enginuity!$B$9="","",Enginuity!$B$9)</f>
        <v>60</v>
      </c>
      <c r="W287" s="399">
        <f>IFERROR(INDEX(CostData!$Q$3:$Q$12,MATCH(TRIM(Enginuity!$A$20),CostData!$P$3:$P$12,0)),"")</f>
        <v>15.048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3.5</v>
      </c>
    </row>
    <row r="293" spans="1:23" x14ac:dyDescent="0.25">
      <c r="A293" s="274" t="s">
        <v>254</v>
      </c>
      <c r="C293" s="369" t="s">
        <v>2067</v>
      </c>
      <c r="P293" s="1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>293</v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48</v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37</v>
      </c>
    </row>
    <row r="295" spans="1:23" x14ac:dyDescent="0.25">
      <c r="A295" s="274" t="s">
        <v>254</v>
      </c>
      <c r="C295" s="369" t="s">
        <v>2067</v>
      </c>
      <c r="P295" s="1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>295</v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1.0833333333333299</v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16</v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</v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0.31999934976002081</v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/>
      <c r="G301" s="414"/>
      <c r="H301" s="414" t="str">
        <f t="shared" ref="H301:L301" si="16">IFERROR(IF(D1=0,"",D1),"")</f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6.68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F311" s="369" t="str">
        <f t="shared" ref="F311" si="18">IFERROR(IF(B11=0,"",B11),"")</f>
        <v/>
      </c>
      <c r="G311" s="369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15.048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537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414"/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G332" s="369" t="s">
        <v>1936</v>
      </c>
      <c r="P332" s="1" t="e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F341" s="369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F342" s="369" t="s">
        <v>2085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F343" s="369" t="s">
        <v>2086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F344" s="369" t="s">
        <v>2087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Z-Louvre Blade - 2"</v>
      </c>
      <c r="T347" s="1" t="str">
        <f>IF(Enginuity!$A$20="","",Enginuity!$A$20)</f>
        <v>Z-Louvre Blade - 2"</v>
      </c>
      <c r="U347" s="1" t="s">
        <v>121</v>
      </c>
      <c r="V347" s="1">
        <f>IF(Enginuity!$B$9="","",Enginuity!$B$9)</f>
        <v>60</v>
      </c>
      <c r="W347" s="399">
        <f>IFERROR(INDEX(CostData!$Q$3:$Q$12,MATCH(TRIM(Enginuity!$A$20),CostData!$P$3:$P$12,0)),"")</f>
        <v>15.048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60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e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e">
        <f>IF($V$392="","",$V$392)</f>
        <v>#VALUE!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e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e">
        <f>IF($V$392="","",$V$392)</f>
        <v>#VALUE!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/>
      <c r="G361" s="414" t="str">
        <f t="shared" ref="G361" si="20">IFERROR(IF(C61=0,"",C61),"")</f>
        <v>Casement Window Standard</v>
      </c>
      <c r="H361" s="414" t="str">
        <f t="shared" ref="H361" si="21">IFERROR(IF(D61=0,"",D61),"")</f>
        <v>N/A</v>
      </c>
      <c r="I361" s="414" t="str">
        <f t="shared" ref="I361" si="22">IFERROR(IF(E61=0,"",E61),"")</f>
        <v>Default</v>
      </c>
      <c r="J361" s="414" t="str">
        <f t="shared" ref="J361" si="23">IFERROR(IF(F61=0,"",F61),"")</f>
        <v/>
      </c>
      <c r="K361" s="414" t="str">
        <f t="shared" ref="K361" si="24">IFERROR(IF(G61=0,"",G61),"")</f>
        <v>▼ [Fix - Casement]</v>
      </c>
      <c r="L361" s="414" t="str">
        <f t="shared" ref="L361" si="25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6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6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6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6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6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6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F371" s="369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6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F372" s="369" t="s">
        <v>2085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F373" s="369" t="s">
        <v>2086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F374" s="369" t="s">
        <v>2087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15.048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414"/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e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F401" s="369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F402" s="369" t="s">
        <v>2085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F403" s="369" t="s">
        <v>2086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F404" s="369" t="s">
        <v>2087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Z-Louvre Blade - 2"</v>
      </c>
      <c r="T407" s="1" t="str">
        <f>IF(Enginuity!$A$20="","",Enginuity!$A$20)</f>
        <v>Z-Louvre Blade - 2"</v>
      </c>
      <c r="U407" s="1" t="s">
        <v>121</v>
      </c>
      <c r="V407" s="1">
        <f>IF(Enginuity!$B$9="","",Enginuity!$B$9)</f>
        <v>60</v>
      </c>
      <c r="W407" s="399">
        <f>IFERROR(INDEX(CostData!$Q$3:$Q$12,MATCH(TRIM(Enginuity!$A$20),CostData!$P$3:$P$12,0)),"")</f>
        <v>15.048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60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e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e">
        <f>IF($V$392="","",$V$392)</f>
        <v>#VALUE!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e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e">
        <f>IF($V$392="","",$V$392)</f>
        <v>#VALUE!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414"/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e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F431" s="369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F432" s="369" t="s">
        <v>2085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F433" s="369" t="s">
        <v>2086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F434" s="369" t="s">
        <v>2087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Z-Louvre Blade - 2"</v>
      </c>
      <c r="T437" s="1" t="str">
        <f>IF(Enginuity!$A$20="","",Enginuity!$A$20)</f>
        <v>Z-Louvre Blade - 2"</v>
      </c>
      <c r="U437" s="1" t="s">
        <v>121</v>
      </c>
      <c r="V437" s="1">
        <f>IF(Enginuity!$B$9="","",Enginuity!$B$9)</f>
        <v>60</v>
      </c>
      <c r="W437" s="399">
        <f>IFERROR(INDEX(CostData!$Q$3:$Q$12,MATCH(TRIM(Enginuity!$A$20),CostData!$P$3:$P$12,0)),"")</f>
        <v>15.048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60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e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e">
        <f>IF($V$392="","",$V$392)</f>
        <v>#VALUE!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e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e">
        <f>IF($V$392="","",$V$392)</f>
        <v>#VALUE!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414"/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7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7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7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7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7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7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7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F461" s="369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F462" s="369" t="s">
        <v>2085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F463" s="369" t="s">
        <v>2086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F464" s="369" t="s">
        <v>2087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Z-Louvre Blade - 2"</v>
      </c>
      <c r="S465" s="1"/>
      <c r="T465" s="1" t="str">
        <f>IF(Enginuity!$A$20="","",Enginuity!$A$20)</f>
        <v>Z-Louvre Blade - 2"</v>
      </c>
      <c r="U465" s="1" t="s">
        <v>121</v>
      </c>
      <c r="V465" s="1">
        <f>IF(Enginuity!$B$9="","",Enginuity!$B$9)</f>
        <v>60</v>
      </c>
      <c r="W465" s="399">
        <f>IFERROR(INDEX(CostData!$Q$3:$Q$12,MATCH(TRIM(Enginuity!$A$20),CostData!$P$3:$P$12,0)),"")</f>
        <v>15.048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8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8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8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8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8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8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8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8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9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29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9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e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8" s="1" t="str">
        <f>IF($S478="","",IFERROR(_xlfn.XLOOKUP($S478,CostData!$U$22:$U$1000,CostData!$T$22:$T$1000,""),""))</f>
        <v>Weather Strip</v>
      </c>
      <c r="R478" s="16" t="str">
        <f t="shared" si="29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e">
        <f>IF($V$392="","",$V$392)</f>
        <v>#VALUE!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e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e">
        <f>IF($V$392="","",$V$392)</f>
        <v>#VALUE!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414"/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F491" s="369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F492" s="369" t="s">
        <v>2085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F493" s="369" t="s">
        <v>2086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F494" s="369" t="s">
        <v>2087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Z-Louvre Blade - 2"</v>
      </c>
      <c r="T497" s="1" t="str">
        <f>IF(Enginuity!$A$20="","",Enginuity!$A$20)</f>
        <v>Z-Louvre Blade - 2"</v>
      </c>
      <c r="U497" s="1" t="s">
        <v>121</v>
      </c>
      <c r="V497" s="1">
        <f>IF(Enginuity!$B$9="","",Enginuity!$B$9)</f>
        <v>60</v>
      </c>
      <c r="W497" s="399">
        <f>IFERROR(INDEX(CostData!$Q$3:$Q$12,MATCH(TRIM(Enginuity!$A$20),CostData!$P$3:$P$12,0)),"")</f>
        <v>15.048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60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414"/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F521" s="369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F522" s="369" t="s">
        <v>2085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F523" s="369" t="s">
        <v>2086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F524" s="369" t="s">
        <v>2087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Z-Louvre Blade - 2"</v>
      </c>
      <c r="T527" s="1" t="str">
        <f>IF(Enginuity!$A$20="","",Enginuity!$A$20)</f>
        <v>Z-Louvre Blade - 2"</v>
      </c>
      <c r="U527" s="1" t="s">
        <v>121</v>
      </c>
      <c r="V527" s="1">
        <f>IF(Enginuity!$B$9="","",Enginuity!$B$9)</f>
        <v>60</v>
      </c>
      <c r="W527" s="399">
        <f>IFERROR(INDEX(CostData!$Q$3:$Q$12,MATCH(TRIM(Enginuity!$A$20),CostData!$P$3:$P$12,0)),"")</f>
        <v>15.048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60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15.048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15.52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15.048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15.52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B43" sqref="B43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TitlePos,IFERROR(INDEX(_xlfn._xlws.FILTER(_xlpm.vMarks,TRIM(INDEX(_xlpm.vBlk,_xlpm.vMarks))&lt;&gt;"▼ [Product Subtype]"),1),0),IF(_xlpm.vTitlePos=0,"",INDEX(_xlpm.vBlk,_xlpm.vTitlePos))),"")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[Optional]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Category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Setting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Value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/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/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TitlePos,IFERROR(INDEX(_xlfn._xlws.FILTER(_xlpm.vMarks,TRIM(INDEX(_xlpm.vBlk,_xlpm.vMarks))&lt;&gt;"▼ [Product Subtype]"),1),0),_xlpm.vNextPos,IF(_xlpm.vTitlePos=0,0,IFERROR(INDEX(_xlfn._xlws.FILTER(_xlpm.vMarks,_xlpm.vMarks&gt;_xlpm.vTitlePos),1),0)),_xlpm.vFrom,_xlpm.vTitlePos+1,_xlpm.vTo,IF(_xlpm.vNextPos=0,ROWS(_xlpm.vBlk),_xlpm.vNextPos-1),_xlpm.vSeg,IF(OR(_xlpm.vTitlePos=0,_xlpm.vFrom&gt;_xlpm.vTo),"",INDEX(_xlpm.vBlk,_xlfn.SEQUENCE(_xlpm.vTo-_xlpm.vFrom+1,,_xlpm.vFrom))),_xlfn._xlws.FILTER(_xlpm.vSeg,TRIM(_xlpm.vSeg)&lt;&gt;"")),""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Door Frame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</row>
    <row r="6" spans="1:12" x14ac:dyDescent="0.25">
      <c r="C6" t="str">
        <v>Sliding Door Standard</v>
      </c>
    </row>
    <row r="7" spans="1:12" x14ac:dyDescent="0.25">
      <c r="C7" t="str">
        <v>Sliding Window Economy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)),_xlpm.vSeg,INDEX(CalcEngine!$F:$F,_xlpm.vTop+1):INDEX(CalcEngine!$F:$F,_xlpm.vTop+9),IF(_xlpm.vHdr="▼ [Product Subtype]",_xlfn._xlws.FILTER(_xlpm.vSeg,TRIM(_xlpm.vSeg)&lt;&gt;""),"")),"")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22</v>
      </c>
      <c r="E2" s="243">
        <v>11.46</v>
      </c>
      <c r="F2" s="104">
        <f>IF(D2*E2=0, "", D2*E2)</f>
        <v>252.12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P/C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5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E6" s="243">
        <v>0.56999999999999995</v>
      </c>
      <c r="F6" s="104">
        <f t="shared" si="0"/>
        <v>34.199999999999996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5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Z-Louvre Blade - 2"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24-Box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- 2"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24-Box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P/C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5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- 2"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24-Box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5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- 2"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24-Box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P/C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5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- 2"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24-Box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5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- 2"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24-Box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P/C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- 2"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- 2"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P/C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- 2"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24-Box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252.12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- 2"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24-Box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P/C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- 2"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24-Box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- 2"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24-Box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P/C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- 2"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24-Box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- 2"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24-Box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P/C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5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60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60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60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60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P/C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5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60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60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60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60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P/C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60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60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60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60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60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P/C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#DIV/0!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#DIV/0!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#DIV/0!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#DIV/0!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P/C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P/C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P/C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Z-Louvre Blade - 2"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24-Box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P/C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Z-Louvre Blade - 2"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24-Box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P/C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Z-Louvre Blade - 2"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24-Box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P/C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- 2"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24-Box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P/C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- 2"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24-Box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P/C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- 2"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24-Box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P/C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60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P/C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12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180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5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180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60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180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180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60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60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P/C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P/C</v>
      </c>
      <c r="Q990" s="82">
        <f>IFERROR(
  IF(OR(Enginuity!$B$6="",Enginuity!$B$7=""),"",
     VALUE(Enginuity!$B$6)*VALUE(Enginuity!$B$7) - N(Q998)
  ),
"")</f>
        <v>60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P/C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P/C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P/C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- 2"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P/C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- 2"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P/C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Z-Louvre Blade - 2"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24-Box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Z-Louvre Blade - 2"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24-Box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Z-Louvre Blade - 2"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24-Box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- 2"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- 2"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P/C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Z-Louvre Blade - 2"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24-Box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Z-Louvre Blade - 2"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24-Box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46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Z-Louvre Blade - 2"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24-Box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367.13249999999999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116.55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24-Box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Z-Louvre Blade - 2"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24-Box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Swing Door 4" Profile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P/C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- 2"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Z-Louvre Blade - 2"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24-Box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Z-Louvre Blade - 2"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24-Box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P/C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P/C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- 2"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24-Box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P/C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5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- 2"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24-Box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1276.5999999999999</v>
      </c>
      <c r="P1711" s="14" t="str">
        <f>IF(Enginuity!$A$19="","", "Dual Security Door Insert c/w SS Mesh + " &amp; Enginuity!$A$19)</f>
        <v>Dual Security Door Insert c/w SS Mesh + P/C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P/C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17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220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15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11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11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11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Swing Door 4" Profile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Swing Door 4" Profile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Swing Door 4" Profile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Swing Door 4" Profile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P/C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e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#DIV/0!</v>
      </c>
      <c r="U2038" s="103" t="e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>#DIV/0!</v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e">
        <f>IF(OR(Enginuity!$B$6="",Enginuity!$B$15=""),
   "",
   CEILING(
      (
         Enginuity!$B$6*304.8 +
         (MAX(0,ROUNDUP(Enginuity!$B$6*304.8/Enginuity!$B$15,0)-1))*1000
      )*24/24716,
   1)
)</f>
        <v>#DIV/0!</v>
      </c>
      <c r="U2039" s="103" t="e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>#DIV/0!</v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P/C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e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#DIV/0!</v>
      </c>
      <c r="U2041" s="103" t="e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>#DIV/0!</v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Z-Louvre Blade - 2"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5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- 2"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24-Box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5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- 2"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24-Box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P/C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- 2"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- 2"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P/C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Swing Door 4" Profile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P/C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Z-Louvre Blade - 2"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24-Box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Swing Door 4" Profile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P/C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1524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15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96.542857142857159</v>
      </c>
      <c r="C27" s="361">
        <f>B27</f>
        <v>96.542857142857159</v>
      </c>
    </row>
    <row r="28" spans="1:40" x14ac:dyDescent="0.25">
      <c r="A28" s="337" t="s">
        <v>1721</v>
      </c>
      <c r="B28" s="362">
        <f>$C$47</f>
        <v>96.542857142857159</v>
      </c>
      <c r="C28" s="381">
        <f>B28</f>
        <v>96.542857142857159</v>
      </c>
    </row>
    <row r="29" spans="1:40" x14ac:dyDescent="0.25">
      <c r="A29" s="337" t="s">
        <v>1722</v>
      </c>
      <c r="B29" s="363">
        <f>ROUND($C$48,10)</f>
        <v>96.542857142900004</v>
      </c>
      <c r="C29" s="364">
        <f>B29</f>
        <v>96.542857142900004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1473.2</v>
      </c>
      <c r="C31" s="365">
        <f>B31</f>
        <v>1473.2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1524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1473.2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96.542857142857159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96.542857142857159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96.542857142900004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1473.2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1524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1473.2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2026-04-22T09:52:57Z</dcterms:modified>
</cp:coreProperties>
</file>