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19A15D15-0527-4A1A-9926-E6DEC0B82DB6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9" l="1" a="1"/>
  <c r="F2" i="19" s="1"/>
  <c r="F91" i="38" l="1"/>
  <c r="P94" i="38" a="1"/>
  <c r="P94" i="38" s="1"/>
  <c r="Q466" i="38"/>
  <c r="Q467" i="38"/>
  <c r="Q468" i="38"/>
  <c r="Q469" i="38"/>
  <c r="Q470" i="38"/>
  <c r="Q471" i="38"/>
  <c r="Q472" i="38"/>
  <c r="Q473" i="38"/>
  <c r="T466" i="38" a="1"/>
  <c r="T466" i="38" s="1"/>
  <c r="R466" i="38" s="1"/>
  <c r="T467" i="38" a="1"/>
  <c r="T467" i="38" s="1"/>
  <c r="R467" i="38" s="1"/>
  <c r="T465" i="38"/>
  <c r="R465" i="38" s="1"/>
  <c r="T468" i="38" a="1"/>
  <c r="T468" i="38" s="1"/>
  <c r="R468" i="38" s="1"/>
  <c r="T469" i="38" a="1"/>
  <c r="T469" i="38" s="1"/>
  <c r="R469" i="38" s="1"/>
  <c r="T470" i="38" a="1"/>
  <c r="T470" i="38" s="1"/>
  <c r="R470" i="38" s="1"/>
  <c r="T471" i="38" a="1"/>
  <c r="T471" i="38" s="1"/>
  <c r="R471" i="38" s="1"/>
  <c r="T472" i="38" a="1"/>
  <c r="T472" i="38" s="1"/>
  <c r="R472" i="38" s="1"/>
  <c r="T473" i="38" a="1"/>
  <c r="T473" i="38" s="1"/>
  <c r="R473" i="38" s="1"/>
  <c r="AC73" i="36" l="1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B42" i="19" a="1"/>
  <c r="B42" i="19" s="1"/>
  <c r="A2" i="19" a="1"/>
  <c r="A2" i="19" s="1"/>
  <c r="B15" i="1" l="1" a="1"/>
  <c r="B15" i="1" s="1"/>
  <c r="B41" i="19" a="1"/>
  <c r="B41" i="19" s="1"/>
  <c r="B17" i="1" a="1"/>
  <c r="B17" i="1" s="1"/>
  <c r="B32" i="1" a="1"/>
  <c r="B32" i="1" s="1"/>
  <c r="F1" i="19" a="1"/>
  <c r="F1" i="19" s="1"/>
  <c r="T459" i="38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R478" i="38" s="1"/>
  <c r="Q478" i="38"/>
  <c r="U477" i="38"/>
  <c r="T477" i="38" a="1"/>
  <c r="T477" i="38" s="1"/>
  <c r="R477" i="38" s="1"/>
  <c r="Q477" i="38"/>
  <c r="U476" i="38"/>
  <c r="T476" i="38" a="1"/>
  <c r="T476" i="38" s="1"/>
  <c r="R476" i="38" s="1"/>
  <c r="Q476" i="38"/>
  <c r="U475" i="38"/>
  <c r="T475" i="38" a="1"/>
  <c r="T475" i="38" s="1"/>
  <c r="R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V466" i="38" a="1"/>
  <c r="V466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F451" i="38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F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F361" i="38"/>
  <c r="W366" i="38" l="1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390" i="38" a="1"/>
  <c r="W390" i="38" s="1"/>
  <c r="P390" i="38" s="1" a="1"/>
  <c r="P390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W476" i="38" a="1"/>
  <c r="W476" i="38" s="1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89" i="38" a="1"/>
  <c r="W389" i="38" s="1"/>
  <c r="P389" i="38" s="1" a="1"/>
  <c r="P389" i="38" s="1"/>
  <c r="W371" i="38" a="1"/>
  <c r="W371" i="38" s="1"/>
  <c r="P371" i="38" s="1" a="1"/>
  <c r="P371" i="38" s="1"/>
  <c r="W388" i="38" a="1"/>
  <c r="W388" i="38" s="1"/>
  <c r="P388" i="38" s="1" a="1"/>
  <c r="P388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F331" i="38"/>
  <c r="F271" i="38"/>
  <c r="F241" i="38"/>
  <c r="F211" i="38"/>
  <c r="F181" i="38"/>
  <c r="F151" i="38"/>
  <c r="G91" i="38"/>
  <c r="W22" i="38" a="1"/>
  <c r="W22" i="38" s="1"/>
  <c r="T13" i="38" a="1"/>
  <c r="T13" i="38" s="1"/>
  <c r="W13" i="38" a="1"/>
  <c r="W13" i="38" s="1"/>
  <c r="U13" i="38"/>
  <c r="T12" i="38" a="1"/>
  <c r="T12" i="38" s="1"/>
  <c r="R12" i="38" s="1"/>
  <c r="Q12" i="38" a="1"/>
  <c r="Q12" i="38" s="1"/>
  <c r="F301" i="38"/>
  <c r="G301" i="38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30" i="38" l="1" a="1"/>
  <c r="W330" i="38" s="1"/>
  <c r="W311" i="38" a="1"/>
  <c r="W311" i="38" s="1"/>
  <c r="P311" i="38" s="1" a="1"/>
  <c r="P311" i="38" s="1"/>
  <c r="W307" i="38" a="1"/>
  <c r="W307" i="38" s="1"/>
  <c r="P307" i="38" s="1" a="1"/>
  <c r="P307" i="38" s="1"/>
  <c r="P13" i="38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W328" i="38" a="1"/>
  <c r="W328" i="38" s="1"/>
  <c r="W329" i="38" a="1"/>
  <c r="W329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W273" i="38" s="1" a="1"/>
  <c r="W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174" i="38" l="1" a="1"/>
  <c r="W174" i="38" s="1"/>
  <c r="W219" i="38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3" i="36" l="1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22" i="36"/>
  <c r="T161" i="38" a="1"/>
  <c r="T161" i="38" s="1"/>
  <c r="R161" i="38" s="1"/>
  <c r="T160" i="38" a="1"/>
  <c r="T160" i="38" s="1"/>
  <c r="R160" i="38" s="1"/>
  <c r="P162" i="38" a="1"/>
  <c r="P162" i="38" s="1"/>
  <c r="Q178" i="38"/>
  <c r="W178" i="38" s="1" a="1"/>
  <c r="W178" i="38" s="1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180" i="38" l="1" a="1"/>
  <c r="W180" i="38" s="1"/>
  <c r="W177" i="38" a="1"/>
  <c r="W177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108" i="38" l="1" a="1"/>
  <c r="W10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A1" i="19" l="1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U3" i="38"/>
  <c r="W539" i="38" l="1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W119" i="38" a="1"/>
  <c r="W119" i="38" s="1"/>
  <c r="AC48" i="36"/>
  <c r="W76" i="38" l="1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64" i="36" l="1"/>
  <c r="W160" i="38" s="1" a="1"/>
  <c r="W160" i="38" s="1"/>
  <c r="I64" i="36"/>
  <c r="J64" i="36"/>
  <c r="K64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W301" i="38" s="1" a="1"/>
  <c r="W301" i="38" s="1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42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42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I23" i="36" l="1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W151" i="38" s="1" a="1"/>
  <c r="W151" i="38" s="1"/>
  <c r="H60" i="36"/>
  <c r="W159" i="38" s="1" a="1"/>
  <c r="W159" i="38" s="1"/>
  <c r="I1032" i="36"/>
  <c r="H1043" i="36"/>
  <c r="I60" i="36"/>
  <c r="I52" i="36"/>
  <c r="I1034" i="36"/>
  <c r="H53" i="36"/>
  <c r="W152" i="38" s="1" a="1"/>
  <c r="W152" i="38" s="1"/>
  <c r="H61" i="36"/>
  <c r="W161" i="38" s="1" a="1"/>
  <c r="W161" i="38" s="1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W154" i="38" s="1" a="1"/>
  <c r="W154" i="38" s="1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61" i="35"/>
  <c r="B51" i="35"/>
  <c r="B50" i="35"/>
  <c r="B58" i="35"/>
  <c r="B47" i="35"/>
  <c r="B56" i="35"/>
  <c r="B59" i="35"/>
  <c r="B53" i="35"/>
  <c r="B48" i="35"/>
  <c r="B52" i="35"/>
  <c r="B49" i="35"/>
  <c r="B60" i="35"/>
  <c r="B46" i="35"/>
  <c r="B55" i="35"/>
  <c r="B57" i="35"/>
  <c r="B54" i="35"/>
  <c r="W93" i="38" l="1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48" i="35" l="1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V458" i="38" s="1"/>
  <c r="P458" i="38" s="1" a="1"/>
  <c r="P458" i="38" s="1"/>
  <c r="B6" i="1" a="1"/>
  <c r="B6" i="1" s="1"/>
  <c r="V295" i="38" l="1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V477" i="38" s="1"/>
  <c r="B13" i="1"/>
  <c r="V427" i="38" s="1"/>
  <c r="P427" i="38" s="1" a="1"/>
  <c r="P427" i="38" s="1"/>
  <c r="V6" i="38"/>
  <c r="V9" i="38"/>
  <c r="P9" i="38" s="1"/>
  <c r="V92" i="38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57" i="38" l="1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P477" i="38" a="1"/>
  <c r="P47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B26" i="35" s="1"/>
  <c r="C26" i="35" s="1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W113" i="38" s="1" a="1"/>
  <c r="W113" i="38" s="1"/>
  <c r="P113" i="38" s="1" a="1"/>
  <c r="P113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P92" i="38" a="1"/>
  <c r="P92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P91" i="38" a="1"/>
  <c r="P9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B32" i="35"/>
  <c r="C55" i="35"/>
  <c r="B36" i="35" s="1"/>
  <c r="B34" i="35"/>
  <c r="C30" i="35"/>
  <c r="C58" i="35" s="1"/>
  <c r="C39" i="35" s="1"/>
  <c r="B33" i="35"/>
  <c r="B35" i="35"/>
  <c r="B37" i="35"/>
  <c r="C25" i="35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476" i="38" l="1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W465" i="38" s="1"/>
  <c r="P465" i="38" s="1" a="1"/>
  <c r="P465" i="38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361" i="38" l="1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W112" i="38" s="1"/>
  <c r="P112" i="38" s="1" a="1"/>
  <c r="P112" i="38" s="1"/>
  <c r="E61" i="38" a="1"/>
  <c r="E61" i="38" s="1"/>
  <c r="I361" i="38" s="1"/>
  <c r="I1" i="19" s="1" a="1"/>
  <c r="I1" i="19" s="1"/>
  <c r="E481" i="38" a="1"/>
  <c r="E48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P467" i="38" l="1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W283" i="38" l="1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I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5" i="1" l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B33" i="1" s="1"/>
  <c r="I19" i="1"/>
  <c r="B37" i="1" l="1"/>
  <c r="B51" i="1"/>
  <c r="B53" i="1" s="1"/>
  <c r="B40" i="1"/>
  <c r="B35" i="1"/>
  <c r="O25" i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<sst xmlns="http://schemas.openxmlformats.org/spreadsheetml/2006/main" count="12228" uniqueCount="2150">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</sst>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1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A21" sqref="A21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21ftW X 8ftH  Aluminium &amp; Glass Standard 5 Panel Supply Only CTW / SF Partition / Z-Louvre N/A Default Curtain Wall </v>
      </c>
      <c r="M2" s="124" t="str">
        <f>IF(A11="","",A11)</f>
        <v>Set</v>
      </c>
      <c r="N2" s="124">
        <f>IF(B11="","",B11)</f>
        <v>1</v>
      </c>
      <c r="O2" s="125">
        <f>IF(B37="","",B37)</f>
        <v>5531.3926121796476</v>
      </c>
      <c r="P2" s="125">
        <f>IF(OR(NOT(ISNUMBER(N2)),NOT(ISNUMBER(O2))),"",N2*O2)</f>
        <v>5531.3926121796476</v>
      </c>
      <c r="Q2" s="34"/>
      <c r="AC2" s="81"/>
    </row>
    <row r="3" spans="1:30" x14ac:dyDescent="0.25">
      <c r="A3" s="46" t="s">
        <v>79</v>
      </c>
      <c r="B3" s="27">
        <v>21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9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8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58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19.079999999999998</v>
      </c>
      <c r="I4" s="5">
        <f>IF(AND(ISNUMBER(F4), ISNUMBER(H4)), F4*H4, "")</f>
        <v>1106.6399999999999</v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Vertical Mullion ↕</v>
      </c>
      <c r="E5" s="25"/>
      <c r="F5" s="52" cm="1">
        <f t="array" ref="F5">IF(D5="","",MAX(0,IFERROR(INDEX(CalcEngine!V:V,SMALL(CalcEngine!P:P,ROW()-3)),0)+N(E5)))</f>
        <v>32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19.079999999999998</v>
      </c>
      <c r="I5" s="5">
        <f t="shared" ref="I5:I30" si="0">IF(AND(ISNUMBER(F5), ISNUMBER(H5)), F5*H5, "")</f>
        <v>610.55999999999995</v>
      </c>
      <c r="K5" s="184"/>
      <c r="L5" s="185"/>
      <c r="M5" s="32"/>
      <c r="N5" s="32"/>
      <c r="O5" s="186"/>
      <c r="P5" s="187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21</v>
      </c>
      <c r="C6" s="1"/>
      <c r="D6" t="str" cm="1">
        <f t="array" ref="D6">IFERROR(INDEX(CalcEngine!R:R,SMALL(CalcEngine!P:P,ROW()-3)),"")</f>
        <v>⬒ Default</v>
      </c>
      <c r="E6" s="25"/>
      <c r="F6" s="52" cm="1">
        <f t="array" ref="F6">IF(D6="","",MAX(0,IFERROR(INDEX(CalcEngine!V:V,SMALL(CalcEngine!P:P,ROW()-3)),0)+N(E6)))</f>
        <v>168</v>
      </c>
      <c r="G6" s="2" t="str" cm="1">
        <f t="array" ref="G6">IFERROR(INDEX(CalcEngine!U:U,SMALL(CalcEngine!P:P,ROW()-3)),"")</f>
        <v>Sqft</v>
      </c>
      <c r="H6" s="5" cm="1">
        <f t="array" ref="H6">IFERROR(INDEX(CalcEngine!W:W,SMALL(CalcEngine!P:P,ROW()-3)),"")</f>
        <v>3.9</v>
      </c>
      <c r="I6" s="5">
        <f t="shared" si="0"/>
        <v>655.19999999999993</v>
      </c>
      <c r="K6" s="184"/>
      <c r="L6" s="185"/>
      <c r="M6" s="32"/>
      <c r="N6" s="32"/>
      <c r="O6" s="186"/>
      <c r="P6" s="187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8</v>
      </c>
      <c r="C7" s="1"/>
      <c r="D7" t="str" cm="1">
        <f t="array" ref="D7">IFERROR(INDEX(CalcEngine!R:R,SMALL(CalcEngine!P:P,ROW()-3)),"")</f>
        <v>Angle Bracket</v>
      </c>
      <c r="E7" s="25"/>
      <c r="F7" s="52" cm="1">
        <f t="array" ref="F7">IF(D7="","",MAX(0,IFERROR(INDEX(CalcEngine!V:V,SMALL(CalcEngine!P:P,ROW()-3)),0)+N(E7)))</f>
        <v>24</v>
      </c>
      <c r="G7" s="2" t="str" cm="1">
        <f t="array" ref="G7">IFERROR(INDEX(CalcEngine!U:U,SMALL(CalcEngine!P:P,ROW()-3)),"")</f>
        <v>Pcs</v>
      </c>
      <c r="H7" s="5" cm="1">
        <f t="array" ref="H7">IFERROR(INDEX(CalcEngine!W:W,SMALL(CalcEngine!P:P,ROW()-3)),"")</f>
        <v>0.13</v>
      </c>
      <c r="I7" s="5">
        <f t="shared" si="0"/>
        <v>3.12</v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4" x 2 Black Tape</v>
      </c>
      <c r="E8" s="25"/>
      <c r="F8" s="52" cm="1">
        <f t="array" ref="F8">IF(D8="","",MAX(0,IFERROR(INDEX(CalcEngine!V:V,SMALL(CalcEngine!P:P,ROW()-3)),0)+N(E8)))</f>
        <v>180</v>
      </c>
      <c r="G8" s="2" t="str" cm="1">
        <f t="array" ref="G8">IFERROR(INDEX(CalcEngine!U:U,SMALL(CalcEngine!P:P,ROW()-3)),"")</f>
        <v>Ft</v>
      </c>
      <c r="H8" s="5" cm="1">
        <f t="array" ref="H8">IFERROR(INDEX(CalcEngine!W:W,SMALL(CalcEngine!P:P,ROW()-3)),"")</f>
        <v>0.31999934976002081</v>
      </c>
      <c r="I8" s="5">
        <f t="shared" si="0"/>
        <v>57.599882956803746</v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168</v>
      </c>
      <c r="C9" s="1"/>
      <c r="D9" t="str" cm="1">
        <f t="array" ref="D9">IFERROR(INDEX(CalcEngine!R:R,SMALL(CalcEngine!P:P,ROW()-3)),"")</f>
        <v>Sealant</v>
      </c>
      <c r="E9" s="25"/>
      <c r="F9" s="52" cm="1">
        <f t="array" ref="F9">IF(D9="","",MAX(0,IFERROR(INDEX(CalcEngine!V:V,SMALL(CalcEngine!P:P,ROW()-3)),0)+N(E9)))</f>
        <v>2975</v>
      </c>
      <c r="G9" s="2" t="str" cm="1">
        <f t="array" ref="G9">IFERROR(INDEX(CalcEngine!U:U,SMALL(CalcEngine!P:P,ROW()-3)),"")</f>
        <v>ML</v>
      </c>
      <c r="H9" s="5" cm="1">
        <f t="array" ref="H9">IFERROR(INDEX(CalcEngine!W:W,SMALL(CalcEngine!P:P,ROW()-3)),"")</f>
        <v>2.5333333333333333E-2</v>
      </c>
      <c r="I9" s="5">
        <f t="shared" si="0"/>
        <v>75.36666666666666</v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5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1500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1846</v>
      </c>
      <c r="B17" s="403" t="str" cm="1">
        <f t="array" ref="B17">IF(SUMPRODUCT(--(LEN(Dropdown!$B$42:$B$80)&gt;0))&gt;0,"↓Product Subtype↓","")</f>
        <v/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1989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1791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976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1933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2508.4865496234702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 t="str">
        <f>IF(K5="","",K5)</f>
        <v/>
      </c>
      <c r="L27" s="132" t="str">
        <f>IF(L5="","",L5)</f>
        <v/>
      </c>
      <c r="M27" s="131" t="str">
        <f>IF(M5="","",M5)</f>
        <v/>
      </c>
      <c r="N27" s="133"/>
      <c r="O27" s="134"/>
      <c r="P27" s="134" t="str">
        <f>IF(OR(NOT(ISNUMBER(N27)),NOT(ISNUMBER(O27))),"",N27*O27)</f>
        <v/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 t="str">
        <f t="shared" ref="K28:K46" si="2">IF(K6="","",K6)</f>
        <v/>
      </c>
      <c r="L28" s="132" t="str">
        <f t="shared" ref="L28:M46" si="3">IF(L6="","",L6)</f>
        <v/>
      </c>
      <c r="M28" s="131" t="str">
        <f t="shared" si="3"/>
        <v/>
      </c>
      <c r="N28" s="133"/>
      <c r="O28" s="135"/>
      <c r="P28" s="134" t="str">
        <f t="shared" ref="P28:P46" si="4">IF(OR(NOT(ISNUMBER(N28)),NOT(ISNUMBER(O28))),"",N28*O28)</f>
        <v/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0.54649999999999999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2508.4865496234702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14.931467557282561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>
        <f>IF(AND(ISNUMBER(B37), ISNUMBER(B9), B9&lt;&gt;0), B37/B9, "")</f>
        <v>32.924956024878853</v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>
        <f>IF(AND(ISNUMBER(B33), ISNUMBER(B32), B33&lt;&gt;0, B32&lt;&gt;1), B33/(1-B32), "")</f>
        <v>5531.3926121796476</v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>
        <f>IF(OR(B37="",B33=""),"",IFERROR(IF(B37-B33=0,"-",B37-B33),""))</f>
        <v>3022.9060625561774</v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119.45174045826049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>
        <f>IF(OR($B$37="",$B$6=""),"",IFERROR($B$37/$B$6,""))</f>
        <v>263.39964819903082</v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470.33280000000002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 t="str">
        <f>IF(SUM(P27:P46)=0,"",SUM(P27:P46))</f>
        <v/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2508.4865496234702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-0.14022115891975917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10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40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6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  <dataValidation type="list" allowBlank="1" showInputMessage="1" showErrorMessage="1" sqref="B18" xr:uid="{E640B23B-CF9F-46C5-B2C9-2B8B6B1FEE54}">
      <formula1>EBB_List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73" zoomScale="75" zoomScaleNormal="75" workbookViewId="0">
      <selection activeCell="H107" sqref="H107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1.4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1260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1.38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80</v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1.07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10.859523809523809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546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3.43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80</v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2.52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12.3475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1.57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>
        <f>IF(OR(Enginuity!B13="",Enginuity!B6="",Enginuity!B7=""),"",Enginuity!B13*Enginuity!B7+Enginuity!B13*3*Enginuity!B6)</f>
        <v>355</v>
      </c>
      <c r="W14" s="399">
        <f>IFERROR(IF(V14="","",V14*($W$12+$W$13)),"")</f>
        <v>629.91032708983425</v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>
        <f>IF(OR(Enginuity!B13="",Enginuity!B6="",Enginuity!B7=""),"",Enginuity!B13*Enginuity!B7+Enginuity!B13*5*Enginuity!B6)</f>
        <v>565</v>
      </c>
      <c r="W15" s="399">
        <f t="shared" ref="W15:W16" si="1">IFERROR(IF(V15="","",V15*($W$12+$W$13)),"")</f>
        <v>1002.5333374810039</v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>
        <f>IF(OR(Enginuity!B13="",Enginuity!B6="",Enginuity!B7=""),"",Enginuity!B13*2*Enginuity!B7+Enginuity!B13*7*Enginuity!B6)</f>
        <v>815</v>
      </c>
      <c r="W16" s="412">
        <f t="shared" si="1"/>
        <v>1446.1321593752534</v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274" t="s">
        <v>254</v>
      </c>
      <c r="B61" s="369" t="s">
        <v>1845</v>
      </c>
      <c r="C61" s="369" t="s">
        <v>3</v>
      </c>
      <c r="D61" s="369" t="s">
        <v>1791</v>
      </c>
      <c r="E61" s="369" t="str" cm="1">
        <f t="array" ref="E61:E70">IFERROR(INDEX(_xlfn._xlws.FILTER(CostData!$P$3:$P$12,CostData!$P$3:$P$12&lt;&gt;""),_xlfn.SEQUENCE(10)),"")</f>
        <v>Default</v>
      </c>
      <c r="F61" s="369" t="str">
        <f>"▼ [Lattice Option]"</f>
        <v>▼ [Lattice Option]</v>
      </c>
      <c r="G61" s="369" t="str">
        <f>"▼ [Fix - Casement]"</f>
        <v>▼ [Fix - Casement]</v>
      </c>
      <c r="H61" s="369" t="str">
        <f>"▼ [Hung Window - Casement]"</f>
        <v>▼ [Hung Window - Casement]</v>
      </c>
      <c r="I61" s="369" t="s">
        <v>1857</v>
      </c>
      <c r="J61" s="369" t="s">
        <v>1858</v>
      </c>
      <c r="K61" s="369" t="s">
        <v>1859</v>
      </c>
      <c r="L61" s="369" t="s">
        <v>1860</v>
      </c>
      <c r="M61" s="410">
        <v>0.54649999999999999</v>
      </c>
      <c r="N61" s="369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1811</v>
      </c>
      <c r="S61" s="24" t="s">
        <v>1924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W61" s="399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F62" s="369" t="s">
        <v>2085</v>
      </c>
      <c r="G62" s="369" t="s">
        <v>1865</v>
      </c>
      <c r="H62" s="369" t="s">
        <v>1865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122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F63" s="369" t="s">
        <v>2086</v>
      </c>
      <c r="G63" s="369" t="s">
        <v>1866</v>
      </c>
      <c r="H63" s="369" t="s">
        <v>1866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32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F64" s="369" t="s">
        <v>2087</v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6" t="str">
        <f>IF($T77="","","⬒ "&amp;$T77)</f>
        <v>⬒ Default</v>
      </c>
      <c r="T77" s="1" t="str">
        <f>IF(Enginuity!$A$20="","",Enginuity!$A$20)</f>
        <v>Default</v>
      </c>
      <c r="U77" s="1" t="s">
        <v>121</v>
      </c>
      <c r="V77" s="1">
        <f>IF(Enginuity!$B$9="","",Enginuity!$B$9)</f>
        <v>168</v>
      </c>
      <c r="W77" s="399">
        <f>IFERROR(INDEX(CostData!$Q$3:$Q$12,MATCH(TRIM(Enginuity!$A$20),CostData!$P$3:$P$12,0)),"")</f>
        <v>3.9</v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5</v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5</v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322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168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122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122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1" t="s">
        <v>254</v>
      </c>
      <c r="B90" s="398"/>
      <c r="C90" s="398" t="s">
        <v>3</v>
      </c>
      <c r="D90" s="398"/>
      <c r="E90" s="398"/>
      <c r="F90" s="398"/>
      <c r="G90" s="398"/>
      <c r="H90" s="398"/>
      <c r="I90" s="398"/>
      <c r="J90" s="398"/>
      <c r="K90" s="398"/>
      <c r="L90" s="398"/>
      <c r="M90" s="398"/>
      <c r="N90" s="398"/>
      <c r="O90" s="398"/>
      <c r="P90" s="400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400" t="str">
        <f>IF($S90="","",IFERROR(_xlfn.XLOOKUP($S90,CostData!$U$22:$U$1000,CostData!$T$22:$T$1000,""),""))</f>
        <v>Gasket</v>
      </c>
      <c r="R90" s="425" t="s">
        <v>1931</v>
      </c>
      <c r="S90" s="417">
        <v>6154</v>
      </c>
      <c r="T90" s="400" t="str" cm="1">
        <f t="array" ref="T90">_xlfn.LET(_xlpm.cd,INDEX($S:$S,ROW()),IF(_xlpm.cd="","",IFERROR(_xlfn.XLOOKUP(_xlpm.cd,CostData!$U$22:$U$1000,CostData!$W$22:$W$1000,""),"")))</f>
        <v>6154 Gasket</v>
      </c>
      <c r="U90" s="400" t="str">
        <f>IF($S90="","",IFERROR(_xlfn.XLOOKUP($S90,CostData!$U$22:$U$1000,CostData!$AA$22:$AA$1000,""),""))</f>
        <v>Ft</v>
      </c>
      <c r="V90" s="400">
        <f>IF(SUM($V$63:$V$64)=0,"",SUM($V$63:$V$64)*2)</f>
        <v>64</v>
      </c>
      <c r="W90" s="412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[Product Subtype]"</f>
        <v>▼ [Product Subtype]</v>
      </c>
      <c r="G91" s="369" t="str">
        <f>"▼ [Lattice Option]"</f>
        <v>▼ [Lattice Option]</v>
      </c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cm="1">
        <f t="array" ref="P91">_xlfn.LET(_xlpm.r,ROW(),_xlpm.a,TRIM(INDEX($A:$A,_xlpm.r)),_xlpm.c,TRIM(INDEX($C:$C,_xlpm.r)),_xlpm.v,INDEX($V:$V,_xlpm.r),_xlpm.selA,TRIM(Enginuity!$A$1),_xlpm.selC,TRIM(Enginuity!$A$18),_xlpm.sel,TRIM(Enginuity!$A$21),_xlpm.famOk,_xlfn.SWITCH(_xlpm.sel,"Curtain Wall",AND(_xlpm.r&gt;=91,_xlpm.r&lt;=93),"SF 2""",AND(_xlpm.r&gt;=94,_xlpm.r&lt;=96),"Z-Louvre Blade - 2""",AND(_xlpm.r&gt;=94,_xlpm.r&lt;=96),"SF 3""",AND(_xlpm.r&gt;=97,_xlpm.r&lt;=99),"Z-Louvre Blade - 5""",AND(_xlpm.r&gt;=97,_xlpm.r&lt;=99),"SF 4""",AND(_xlpm.r&gt;=100,_xlpm.r&lt;=102),FALSE),IF(OR(_xlpm.a&lt;&gt;_xlpm.selA,_xlpm.c&lt;&gt;_xlpm.selC,_xlpm.v="",_xlpm.v=0,NOT(_xlpm.famOk)),"",_xlpm.r))</f>
        <v>91</v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58</v>
      </c>
      <c r="W91" s="420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>19.079999999999998</v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G92" s="369" t="s">
        <v>2085</v>
      </c>
      <c r="M92" s="410">
        <v>0.54649999999999999</v>
      </c>
      <c r="N92" s="369">
        <v>1500</v>
      </c>
      <c r="O92" s="369" t="s">
        <v>1956</v>
      </c>
      <c r="P92" s="1" cm="1">
        <f t="array" ref="P9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>92</v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32</v>
      </c>
      <c r="W92" s="399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19.079999999999998</v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G93" s="369" t="s">
        <v>2086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19.079999999999998</v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G94" s="369" t="s">
        <v>2087</v>
      </c>
      <c r="M94" s="410">
        <v>0.54649999999999999</v>
      </c>
      <c r="N94" s="369">
        <v>914.4</v>
      </c>
      <c r="O94" s="369" t="s">
        <v>1958</v>
      </c>
      <c r="P94" s="1" t="str" cm="1">
        <f t="array" ref="P9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58</v>
      </c>
      <c r="W94" s="399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5.55</v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t="str" cm="1">
        <f t="array" ref="P9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32</v>
      </c>
      <c r="W95" s="399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5.55</v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_xlfn.LET(_xlpm.w,Enginuity!$B$6,_xlpm.h,Enginuity!$B$7,_xlpm.tot,IF(_xlpm.h&gt;8,_xlpm.w,0),IF(_xlpm.tot=0,"",_xlpm.tot))</f>
        <v/>
      </c>
      <c r="W96" s="399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5.55</v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58</v>
      </c>
      <c r="W97" s="399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6.98</v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32</v>
      </c>
      <c r="W98" s="399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6.98</v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1" t="str" cm="1">
        <f t="array" ref="P99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_xlfn.LET(_xlpm.w,Enginuity!$B$6,_xlpm.h,Enginuity!$B$7,_xlpm.tot,IF(_xlpm.h&gt;8,_xlpm.w,0),IF(_xlpm.tot=0,"",_xlpm.tot))</f>
        <v/>
      </c>
      <c r="W99" s="399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6.98</v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1" t="str" cm="1">
        <f t="array" ref="P100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58</v>
      </c>
      <c r="W100" s="399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8.73</v>
      </c>
    </row>
    <row r="101" spans="1:23" x14ac:dyDescent="0.25">
      <c r="A101" s="274" t="s">
        <v>254</v>
      </c>
      <c r="C101" s="369" t="s">
        <v>1989</v>
      </c>
      <c r="P101" s="1" t="str" cm="1">
        <f t="array" ref="P101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32</v>
      </c>
      <c r="W101" s="399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8.73</v>
      </c>
    </row>
    <row r="102" spans="1:23" x14ac:dyDescent="0.25">
      <c r="A102" s="274" t="s">
        <v>254</v>
      </c>
      <c r="C102" s="369" t="s">
        <v>1989</v>
      </c>
      <c r="P102" s="1" t="str" cm="1">
        <f t="array" ref="P10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_xlfn.LET(_xlpm.w,Enginuity!$B$6,_xlpm.h,Enginuity!$B$7,_xlpm.tot,IF(_xlpm.h&gt;8,_xlpm.w,0),IF(_xlpm.tot=0,"",_xlpm.tot))</f>
        <v/>
      </c>
      <c r="W102" s="399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8.73</v>
      </c>
    </row>
    <row r="103" spans="1:23" x14ac:dyDescent="0.25">
      <c r="A103" s="274" t="s">
        <v>254</v>
      </c>
      <c r="C103" s="369" t="s">
        <v>1989</v>
      </c>
      <c r="P103" s="1" t="str" cm="1">
        <f t="array" ref="P10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58</v>
      </c>
      <c r="W103" s="399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2.59</v>
      </c>
    </row>
    <row r="104" spans="1:23" x14ac:dyDescent="0.25">
      <c r="A104" s="274" t="s">
        <v>254</v>
      </c>
      <c r="C104" s="369" t="s">
        <v>1989</v>
      </c>
      <c r="P104" s="1" t="str" cm="1">
        <f t="array" ref="P10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32</v>
      </c>
      <c r="W104" s="399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2.59</v>
      </c>
    </row>
    <row r="105" spans="1:23" x14ac:dyDescent="0.25">
      <c r="A105" s="274" t="s">
        <v>254</v>
      </c>
      <c r="C105" s="369" t="s">
        <v>1989</v>
      </c>
      <c r="P105" s="1" t="str" cm="1">
        <f t="array" ref="P10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2.59</v>
      </c>
    </row>
    <row r="106" spans="1:23" x14ac:dyDescent="0.25">
      <c r="A106" s="274" t="s">
        <v>254</v>
      </c>
      <c r="C106" s="369" t="s">
        <v>1989</v>
      </c>
      <c r="P106" s="1" t="str" cm="1">
        <f t="array" ref="P10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58</v>
      </c>
      <c r="W106" s="399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3.47</v>
      </c>
    </row>
    <row r="107" spans="1:23" x14ac:dyDescent="0.25">
      <c r="A107" s="274" t="s">
        <v>254</v>
      </c>
      <c r="C107" s="369" t="s">
        <v>1989</v>
      </c>
      <c r="P107" s="1" t="str" cm="1">
        <f t="array" ref="P10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32</v>
      </c>
      <c r="W107" s="399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3.47</v>
      </c>
    </row>
    <row r="108" spans="1:23" x14ac:dyDescent="0.25">
      <c r="A108" s="274" t="s">
        <v>254</v>
      </c>
      <c r="C108" s="369" t="s">
        <v>1989</v>
      </c>
      <c r="P108" s="1" t="str" cm="1">
        <f t="array" ref="P10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3.47</v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112</v>
      </c>
      <c r="Q112" s="1" t="s">
        <v>1832</v>
      </c>
      <c r="R112" s="16" t="str">
        <f>IF($T112="","","⬒ "&amp;$T112)</f>
        <v>⬒ Default</v>
      </c>
      <c r="T112" s="1" t="str">
        <f>IF(Enginuity!$A$20="","",Enginuity!$A$20)</f>
        <v>Default</v>
      </c>
      <c r="U112" s="1" t="s">
        <v>121</v>
      </c>
      <c r="V112" s="1">
        <f>IF(Enginuity!$B$9="","",Enginuity!$B$9)</f>
        <v>168</v>
      </c>
      <c r="W112" s="399">
        <f>IFERROR(INDEX(CostData!$Q$3:$Q$12,MATCH(TRIM(Enginuity!$A$20),CostData!$P$3:$P$12,0)),"")</f>
        <v>3.9</v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 t="str">
        <f>IF(OR(TRIM(Enginuity!A21)=TRIM(G92),TRIM(Enginuity!A22)=TRIM(G92)),1,"")</f>
        <v/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117</v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24</v>
      </c>
      <c r="W117" s="399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4" t="s">
        <v>254</v>
      </c>
      <c r="C118" s="369" t="s">
        <v>1989</v>
      </c>
      <c r="P118" s="1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118</v>
      </c>
      <c r="Q118" s="1" t="str">
        <f>IF($S118="","",IFERROR(_xlfn.XLOOKUP($S118,CostData!$U$22:$U$1000,CostData!$T$22:$T$1000,""),""))</f>
        <v>Black Tape</v>
      </c>
      <c r="R118" s="16" t="str">
        <f>IF($S118="","",$T118)</f>
        <v>4" x 2 Black Tape</v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>BT40</v>
      </c>
      <c r="T118" s="1" t="str" cm="1">
        <f t="array" ref="T118">_xlfn.LET(_xlpm.cd,INDEX($S:$S,ROW()),IF(_xlpm.cd="","",IFERROR(_xlfn.XLOOKUP(_xlpm.cd,CostData!$U$22:$U$1000,CostData!$W$22:$W$1000,""),"")))</f>
        <v>4" x 2 Black Tape</v>
      </c>
      <c r="U118" s="1" t="str">
        <f>IF($S118="","",IFERROR(_xlfn.XLOOKUP($S118,CostData!$U$22:$U$1000,CostData!$AA$22:$AA$1000,""),""))</f>
        <v>Ft</v>
      </c>
      <c r="V118" s="1">
        <f>_xlfn.LET(_xlpm.tot,SUM(N($V$91),N($V$92),N($V$93))*2,IF(_xlpm.tot=0,"",_xlpm.tot))</f>
        <v>180</v>
      </c>
      <c r="W118" s="399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0.31999934976002081</v>
      </c>
    </row>
    <row r="119" spans="1:23" x14ac:dyDescent="0.25">
      <c r="A119" s="274" t="s">
        <v>254</v>
      </c>
      <c r="C119" s="369" t="s">
        <v>1989</v>
      </c>
      <c r="P119" s="1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119</v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>2975</v>
      </c>
      <c r="W119" s="399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2.5333333333333333E-2</v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369" t="str">
        <f>"▼ [Lattice Option]"</f>
        <v>▼ [Lattice Option]</v>
      </c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F152" s="369" t="s">
        <v>2085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F153" s="369" t="s">
        <v>2086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F154" s="369" t="s">
        <v>2087</v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>Curtain Wall</v>
      </c>
      <c r="T162" s="1" t="str">
        <f>IF(Enginuity!$A$21="","",Enginuity!$A$21)</f>
        <v>Curtain Wall</v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>⬒ Default</v>
      </c>
      <c r="T167" s="1" t="str">
        <f>IF(Enginuity!$A$20="","",Enginuity!$A$20)</f>
        <v>Default</v>
      </c>
      <c r="U167" s="1" t="s">
        <v>121</v>
      </c>
      <c r="V167" s="1">
        <f>IF(Enginuity!$B$9="","",Enginuity!$B$9)</f>
        <v>168</v>
      </c>
      <c r="W167" s="399">
        <f>IFERROR(INDEX(CostData!$Q$3:$Q$12,MATCH(TRIM(Enginuity!$A$20),CostData!$P$3:$P$12,0)),"")</f>
        <v>3.9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20</v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10</v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1415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116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>
        <f>IF(SUM($V$63:$V$64)=0,"",SUM($V$63:$V$64)*2)</f>
        <v>64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369" t="str">
        <f>"▼ [Lattice Option]"</f>
        <v>▼ [Lattice Option]</v>
      </c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F182" s="369" t="s">
        <v>2085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F183" s="369" t="s">
        <v>2086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F184" s="369" t="s">
        <v>2087</v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Default</v>
      </c>
      <c r="T197" s="1" t="str">
        <f>IF(Enginuity!$A$20="","",Enginuity!$A$20)</f>
        <v>Default</v>
      </c>
      <c r="U197" s="1" t="s">
        <v>121</v>
      </c>
      <c r="V197" s="1">
        <f>IF(Enginuity!$B$9="","",Enginuity!$B$9)</f>
        <v>168</v>
      </c>
      <c r="W197" s="399">
        <f>IFERROR(INDEX(CostData!$Q$3:$Q$12,MATCH(TRIM(Enginuity!$A$20),CostData!$P$3:$P$12,0)),"")</f>
        <v>3.9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20</v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10</v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1415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116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64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369" t="str">
        <f>"▼ [Lattice Option]"</f>
        <v>▼ [Lattice Option]</v>
      </c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t="str" cm="1">
        <f t="array" ref="V211">_xlfn.LET(_xlpm.p,IF(Enginuity!$B$14&lt;&gt;"",Enginuity!$B$14,Enginuity!$B$13),_xlpm.h,Enginuity!$B$7,IF(OR(_xlpm.p="",_xlpm.h=""),"",_xlfn.SWITCH(_xlpm.p,2,2*_xlpm.h,3,2*_xlpm.h,4,2*_xlpm.h,6,4*_xlpm.h,"")))</f>
        <v/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F212" s="369" t="s">
        <v>2085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t="str" cm="1">
        <f t="array" ref="V212">_xlfn.LET(_xlpm.p,IF(Enginuity!$B$14&lt;&gt;"",Enginuity!$B$14,Enginuity!$B$13),_xlpm.w,Enginuity!$B$6,IF(OR(_xlpm.p="",_xlpm.w=""),"",_xlfn.SWITCH(_xlpm.p,2,_xlpm.w,3,_xlpm.w,4,_xlpm.w,6,2*_xlpm.w,"")))</f>
        <v/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F213" s="369" t="s">
        <v>2086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t="str" cm="1">
        <f t="array" ref="V213">_xlfn.LET(_xlpm.p,IF(Enginuity!$B$14&lt;&gt;"",Enginuity!$B$14,Enginuity!$B$13),_xlpm.w,Enginuity!$B$6,IF(OR(_xlpm.p="",_xlpm.w=""),"",_xlfn.SWITCH(_xlpm.p,2,_xlpm.w,3,_xlpm.w,4,_xlpm.w,6,2*_xlpm.w,"")))</f>
        <v/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F214" s="369" t="s">
        <v>2087</v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t="str" cm="1">
        <f t="array" ref="V214">_xlfn.LET(_xlpm.p,IF(Enginuity!$B$14&lt;&gt;"",Enginuity!$B$14,Enginuity!$B$13),_xlpm.h,Enginuity!$B$7,IF(OR(_xlpm.p="",_xlpm.h=""),"",_xlfn.SWITCH(_xlpm.p,2,2*_xlpm.h,3,4*_xlpm.h,4,2*_xlpm.h,6,8*_xlpm.h,"")))</f>
        <v/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t="str" cm="1">
        <f t="array" ref="V216">_xlfn.LET(_xlpm.p,IF(Enginuity!$B$14&lt;&gt;"",Enginuity!$B$14,Enginuity!$B$13),_xlpm.w,Enginuity!$B$6,IF(OR(_xlpm.p="",_xlpm.w=""),"",_xlfn.SWITCH(_xlpm.p,2,_xlpm.w,3,_xlpm.w,4,_xlpm.w,6,_xlpm.w,"")))</f>
        <v/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t="str" cm="1">
        <f t="array" ref="V217">_xlfn.LET(_xlpm.p,IF(Enginuity!$B$14&lt;&gt;"",Enginuity!$B$14,Enginuity!$B$13),_xlpm.w,Enginuity!$B$6,IF(OR(_xlpm.p="",_xlpm.w=""),"",_xlfn.SWITCH(_xlpm.p,2,_xlpm.w,3,_xlpm.w,4,_xlpm.w,6,_xlpm.w,"")))</f>
        <v/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Default</v>
      </c>
      <c r="T227" s="1" t="str">
        <f>IF(Enginuity!$A$20="","",Enginuity!$A$20)</f>
        <v>Default</v>
      </c>
      <c r="U227" s="1" t="s">
        <v>121</v>
      </c>
      <c r="V227" s="1">
        <f>IF(Enginuity!$B$9="","",Enginuity!$B$9)</f>
        <v>168</v>
      </c>
      <c r="W227" s="399">
        <f>IFERROR(INDEX(CostData!$Q$3:$Q$12,MATCH(TRIM(Enginuity!$A$20),CostData!$P$3:$P$12,0)),"")</f>
        <v>3.9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20</v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10</v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 t="str">
        <f>IF(SUM($V$151:$V$161)=0,"",SUM($V$151:$V$161))</f>
        <v/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1415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116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>
        <f>IF(SUM($V$63:$V$64)=0,"",SUM($V$63:$V$64)*2)</f>
        <v>64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369" t="str">
        <f>"▼ [Lattice Option]"</f>
        <v>▼ [Lattice Option]</v>
      </c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F242" s="369" t="s">
        <v>2085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F243" s="369" t="s">
        <v>2086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F244" s="369" t="s">
        <v>2087</v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Default</v>
      </c>
      <c r="T257" s="1" t="str">
        <f>IF(Enginuity!$A$20="","",Enginuity!$A$20)</f>
        <v>Default</v>
      </c>
      <c r="U257" s="1" t="s">
        <v>121</v>
      </c>
      <c r="V257" s="1">
        <f>IF(Enginuity!$B$9="","",Enginuity!$B$9)</f>
        <v>168</v>
      </c>
      <c r="W257" s="399">
        <f>IFERROR(INDEX(CostData!$Q$3:$Q$12,MATCH(TRIM(Enginuity!$A$20),CostData!$P$3:$P$12,0)),"")</f>
        <v>3.9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20</v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10</v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1415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116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64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369" t="str">
        <f>"▼ [Lattice Option]"</f>
        <v>▼ [Lattice Option]</v>
      </c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>
        <f>IF(OR(Enginuity!$B$13="",Enginuity!$B$7=""),"",Enginuity!$B$13*2*Enginuity!$B$7)</f>
        <v>80</v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F272" s="369" t="s">
        <v>2085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210</v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F273" s="369" t="s">
        <v>2086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F274" s="369" t="s">
        <v>2087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254.2204144125958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254.2204144125958</v>
      </c>
    </row>
    <row r="284" spans="1:23" x14ac:dyDescent="0.25">
      <c r="A284" s="274" t="s">
        <v>254</v>
      </c>
      <c r="C284" s="369" t="s">
        <v>2067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>⬒ Default</v>
      </c>
      <c r="T287" s="1" t="str">
        <f>IF(Enginuity!$A$20="","",Enginuity!$A$20)</f>
        <v>Default</v>
      </c>
      <c r="U287" s="1" t="s">
        <v>121</v>
      </c>
      <c r="V287" s="1">
        <f>IF(Enginuity!$B$9="","",Enginuity!$B$9)</f>
        <v>168</v>
      </c>
      <c r="W287" s="399">
        <f>IFERROR(INDEX(CostData!$Q$3:$Q$12,MATCH(TRIM(Enginuity!$A$20),CostData!$P$3:$P$12,0)),"")</f>
        <v>3.9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20</v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5</v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42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8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8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290</v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290</v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 t="str">
        <f t="shared" ref="F301:L301" si="16">IFERROR(IF(B1=0,"",B1),"")</f>
        <v>Setting</v>
      </c>
      <c r="G301" s="414" t="str">
        <f t="shared" si="16"/>
        <v>Value</v>
      </c>
      <c r="H301" s="414" t="str">
        <f t="shared" si="16"/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37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5.86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3.9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903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37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37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369" t="str">
        <f>"▼ [Lattice Option]"</f>
        <v>▼ [Lattice Option]</v>
      </c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F332" s="369" t="s">
        <v>2085</v>
      </c>
      <c r="G332" s="369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122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F333" s="369" t="s">
        <v>2086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32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F334" s="369" t="s">
        <v>2087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>⬒ Default</v>
      </c>
      <c r="T347" s="1" t="str">
        <f>IF(Enginuity!$A$20="","",Enginuity!$A$20)</f>
        <v>Default</v>
      </c>
      <c r="U347" s="1" t="s">
        <v>121</v>
      </c>
      <c r="V347" s="1">
        <f>IF(Enginuity!$B$9="","",Enginuity!$B$9)</f>
        <v>168</v>
      </c>
      <c r="W347" s="399">
        <f>IFERROR(INDEX(CostData!$Q$3:$Q$12,MATCH(TRIM(Enginuity!$A$20),CostData!$P$3:$P$12,0)),"")</f>
        <v>3.9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5</v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5</v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322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168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>
        <f>IF($V$392="","",$V$392)</f>
        <v>122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>
        <f>IF($V$392="","",$V$392)</f>
        <v>122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64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 t="str">
        <f t="shared" ref="F361" si="18">IFERROR(IF(B61=0,"",B61),"")</f>
        <v>Install Only</v>
      </c>
      <c r="G361" s="414" t="str">
        <f t="shared" ref="G361" si="19">IFERROR(IF(C61=0,"",C61),"")</f>
        <v>Casement Window Standard</v>
      </c>
      <c r="H361" s="414" t="str">
        <f t="shared" ref="H361" si="20">IFERROR(IF(D61=0,"",D61),"")</f>
        <v>N/A</v>
      </c>
      <c r="I361" s="414" t="str">
        <f t="shared" ref="I361" si="21">IFERROR(IF(E61=0,"",E61),"")</f>
        <v>Default</v>
      </c>
      <c r="J361" s="414" t="str">
        <f t="shared" ref="J361" si="22">IFERROR(IF(F61=0,"",F61),"")</f>
        <v>▼ [Lattice Option]</v>
      </c>
      <c r="K361" s="414" t="str">
        <f t="shared" ref="K361" si="23">IFERROR(IF(G61=0,"",G61),"")</f>
        <v>▼ [Fix - Casement]</v>
      </c>
      <c r="L361" s="414" t="str">
        <f t="shared" ref="L361" si="24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5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5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5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5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5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5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5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>
        <f>IFERROR(INDEX(CostData!$Q$3:$Q$12,MATCH(TRIM(Enginuity!$A$20),CostData!$P$3:$P$12,0)),"")</f>
        <v>3.9</v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369" t="str">
        <f>"▼ [Variant]"</f>
        <v>▼ [Variant]</v>
      </c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122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32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Default</v>
      </c>
      <c r="T407" s="1" t="str">
        <f>IF(Enginuity!$A$20="","",Enginuity!$A$20)</f>
        <v>Default</v>
      </c>
      <c r="U407" s="1" t="s">
        <v>121</v>
      </c>
      <c r="V407" s="1">
        <f>IF(Enginuity!$B$9="","",Enginuity!$B$9)</f>
        <v>168</v>
      </c>
      <c r="W407" s="399">
        <f>IFERROR(INDEX(CostData!$Q$3:$Q$12,MATCH(TRIM(Enginuity!$A$20),CostData!$P$3:$P$12,0)),"")</f>
        <v>3.9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5</v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5</v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322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168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122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122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>
        <f>IF(SUM($V$393:$V$394)=0,"",SUM($V$393:$V$394)*2)</f>
        <v>64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369" t="str">
        <f>"▼ [Variant]"</f>
        <v>▼ [Variant]</v>
      </c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122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>
        <f>IF(AND(Enginuity!$B$7&gt;0,Enginuity!$B$13&gt;1),(Enginuity!$B$13-1)*Enginuity!$B$7,"")</f>
        <v>32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Default</v>
      </c>
      <c r="T437" s="1" t="str">
        <f>IF(Enginuity!$A$20="","",Enginuity!$A$20)</f>
        <v>Default</v>
      </c>
      <c r="U437" s="1" t="s">
        <v>121</v>
      </c>
      <c r="V437" s="1">
        <f>IF(Enginuity!$B$9="","",Enginuity!$B$9)</f>
        <v>168</v>
      </c>
      <c r="W437" s="399">
        <f>IFERROR(INDEX(CostData!$Q$3:$Q$12,MATCH(TRIM(Enginuity!$A$20),CostData!$P$3:$P$12,0)),"")</f>
        <v>3.9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>
        <f>IF(TRIM(Enginuity!$A$22)="Fix Window","",IF(Enginuity!$B$13&gt;0,Enginuity!$B$13,""))</f>
        <v>5</v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>
        <f>IF(TRIM(Enginuity!$A$22)="Fix Window","",IF(Enginuity!$B$13="","",Enginuity!$B$13))</f>
        <v>5</v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>
        <f>IF(SUM($V$391:$V$394)=0,"",SUM($V$391:$V$394))</f>
        <v>322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168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>
        <f>IF($V$392="","",$V$392)</f>
        <v>122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>
        <f>IF($V$392="","",$V$392)</f>
        <v>122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>
        <f>IF(SUM($V$393:$V$394)=0,"",SUM($V$393:$V$394)*2)</f>
        <v>64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369" t="str">
        <f>"▼ [Variant]"</f>
        <v>▼ [Variant]</v>
      </c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21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F452" s="369" t="s">
        <v>2085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6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16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F453" s="369" t="s">
        <v>2086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6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21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F454" s="369" t="s">
        <v>2087</v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6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21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6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21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6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>
        <f>IF(OR(Enginuity!$B$7="",Enginuity!$B$6="",Enginuity!$B$13=""),"",((Enginuity!$B$13*2)*Enginuity!$B$7)+(Enginuity!$B$6*2))</f>
        <v>122</v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6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>
        <f>IF(OR(Enginuity!$B$7="",Enginuity!$B$6="",Enginuity!$B$13=""),"",((Enginuity!$B$13*2)*Enginuity!$B$7)+(Enginuity!$B$6*2))</f>
        <v>122</v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6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16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Default</v>
      </c>
      <c r="S465" s="1"/>
      <c r="T465" s="1" t="str">
        <f>IF(Enginuity!$A$20="","",Enginuity!$A$20)</f>
        <v>Default</v>
      </c>
      <c r="U465" s="1" t="s">
        <v>121</v>
      </c>
      <c r="V465" s="1">
        <f>IF(Enginuity!$B$9="","",Enginuity!$B$9)</f>
        <v>168</v>
      </c>
      <c r="W465" s="399">
        <f>IFERROR(INDEX(CostData!$Q$3:$Q$12,MATCH(TRIM(Enginuity!$A$20),CostData!$P$3:$P$12,0)),"")</f>
        <v>3.9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>
        <f>IF($S466="","",IFERROR(_xlfn.XLOOKUP($S466,CostData!$U$22:$U$1000,CostData!$T$22:$T$1000,""),""))</f>
        <v>Lock</v>
      </c>
      <c r="R466" s="16" t="str">
        <f t="shared" ref="R466:R473" si="27">T466</f>
        <v>ML1616 Black Set</v>
      </c>
      <c r="S466" s="1" t="s">
        <v>2134</v>
      </c>
      <c r="T466" s="1" t="str" cm="1">
        <f t="array" ref="T466">_xlfn.LET(_xlpm.cd,INDEX($S:$S,ROW()),IF(_xlpm.cd="","",IFERROR(_xlfn.XLOOKUP(_xlpm.cd,CostData!$U$22:$U$1000,CostData!$W$22:$W$1000,""),"")))</f>
        <v>ML1616 Black Set</v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6" t="str">
        <f t="shared" si="27"/>
        <v>MSW-8112 TC78 Matt Black Latch Bolt</v>
      </c>
      <c r="S467" s="1" t="s">
        <v>2132</v>
      </c>
      <c r="T467" s="1" t="str" cm="1">
        <f t="array" ref="T467">_xlfn.LET(_xlpm.cd,INDEX($S:$S,ROW()),IF(_xlpm.cd="","",IFERROR(_xlfn.XLOOKUP(_xlpm.cd,CostData!$U$22:$U$1000,CostData!$W$22:$W$1000,""),"")))</f>
        <v>MSW-8112 TC78 Matt Black Latch Bolt</v>
      </c>
      <c r="W467" s="399"/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Roller</v>
      </c>
      <c r="R468" s="16" t="str">
        <f t="shared" si="27"/>
        <v>84TR Top Roller 4 Nylon Wheels Black</v>
      </c>
      <c r="S468" s="1" t="s">
        <v>2130</v>
      </c>
      <c r="T468" s="1" t="str" cm="1">
        <f t="array" ref="T468">_xlfn.LET(_xlpm.cd,INDEX($S:$S,ROW()),IF(_xlpm.cd="","",IFERROR(_xlfn.XLOOKUP(_xlpm.cd,CostData!$U$22:$U$1000,CostData!$W$22:$W$1000,""),"")))</f>
        <v>84TR Top Roller 4 Nylon Wheels Black</v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Guide</v>
      </c>
      <c r="R469" s="16" t="str">
        <f t="shared" si="27"/>
        <v>88BG(R) Bottom Guide Exposed Black</v>
      </c>
      <c r="S469" s="1" t="s">
        <v>2149</v>
      </c>
      <c r="T469" s="1" t="str" cm="1">
        <f t="array" ref="T469">_xlfn.LET(_xlpm.cd,INDEX($S:$S,ROW()),IF(_xlpm.cd="","",IFERROR(_xlfn.XLOOKUP(_xlpm.cd,CostData!$U$22:$U$1000,CostData!$W$22:$W$1000,""),"")))</f>
        <v>88BG(R) Bottom Guide Exposed Black</v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Handle</v>
      </c>
      <c r="R470" s="16" t="str">
        <f t="shared" si="27"/>
        <v>T28 Black Collapsible Door Handle</v>
      </c>
      <c r="S470" s="1" t="s">
        <v>2126</v>
      </c>
      <c r="T470" s="1" t="str" cm="1">
        <f t="array" ref="T470">_xlfn.LET(_xlpm.cd,INDEX($S:$S,ROW()),IF(_xlpm.cd="","",IFERROR(_xlfn.XLOOKUP(_xlpm.cd,CostData!$U$22:$U$1000,CostData!$W$22:$W$1000,""),"")))</f>
        <v>T28 Black Collapsible Door Handle</v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Lock</v>
      </c>
      <c r="R471" s="16" t="str">
        <f t="shared" si="27"/>
        <v>T29 Folding Door Acc Lockcase Black</v>
      </c>
      <c r="S471" s="1" t="s">
        <v>2128</v>
      </c>
      <c r="T471" s="1" t="str" cm="1">
        <f t="array" ref="T471">_xlfn.LET(_xlpm.cd,INDEX($S:$S,ROW()),IF(_xlpm.cd="","",IFERROR(_xlfn.XLOOKUP(_xlpm.cd,CostData!$U$22:$U$1000,CostData!$W$22:$W$1000,""),"")))</f>
        <v>T29 Folding Door Acc Lockcase Black</v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Hinge</v>
      </c>
      <c r="R472" s="16" t="str">
        <f t="shared" si="27"/>
        <v>82MH Folding Door Mid Hinge Black</v>
      </c>
      <c r="S472" s="1" t="s">
        <v>2121</v>
      </c>
      <c r="T472" s="1" t="str" cm="1">
        <f t="array" ref="T472">_xlfn.LET(_xlpm.cd,INDEX($S:$S,ROW()),IF(_xlpm.cd="","",IFERROR(_xlfn.XLOOKUP(_xlpm.cd,CostData!$U$22:$U$1000,CostData!$W$22:$W$1000,""),"")))</f>
        <v>82MH Folding Door Mid Hinge Black</v>
      </c>
      <c r="W472" s="399"/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7"/>
        <v>83DH D-Hinge W/Handle Black</v>
      </c>
      <c r="S473" s="1" t="s">
        <v>2124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2136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>
        <f>IF(TRIM(Enginuity!$A$22)="Fix Window","",IF(Enginuity!$B$13&gt;0,Enginuity!$B$13,""))</f>
        <v>5</v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28">T475</f>
        <v>911C Bracket 37.5mm LB Inner &amp; Outer Aluminium Bracket</v>
      </c>
      <c r="S475" s="24" t="s">
        <v>2139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>
        <f>IF(TRIM(Enginuity!$A$22)="Fix Window","",IF(Enginuity!$B$13="","",Enginuity!$B$13))</f>
        <v>5</v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6" t="str">
        <f t="shared" si="28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>
        <f>IF(SUM($V$391:$V$394)=0,"",SUM($V$391:$V$394))</f>
        <v>322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28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1415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Weather Strip</v>
      </c>
      <c r="R478" s="16" t="str">
        <f t="shared" si="28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>
        <f>IF($V$392="","",$V$392)</f>
        <v>122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6" t="s">
        <v>2148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>
        <f>IF($V$392="","",$V$392)</f>
        <v>122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>
        <f>IF(SUM($V$393:$V$394)=0,"",SUM($V$393:$V$394)*2)</f>
        <v>64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369" t="str">
        <f>"▼ [Variant]"</f>
        <v>▼ [Variant]</v>
      </c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122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32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Default</v>
      </c>
      <c r="T497" s="1" t="str">
        <f>IF(Enginuity!$A$20="","",Enginuity!$A$20)</f>
        <v>Default</v>
      </c>
      <c r="U497" s="1" t="s">
        <v>121</v>
      </c>
      <c r="V497" s="1">
        <f>IF(Enginuity!$B$9="","",Enginuity!$B$9)</f>
        <v>168</v>
      </c>
      <c r="W497" s="399">
        <f>IFERROR(INDEX(CostData!$Q$3:$Q$12,MATCH(TRIM(Enginuity!$A$20),CostData!$P$3:$P$12,0)),"")</f>
        <v>3.9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5</v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5</v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322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168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122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122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>
        <f>IF(SUM($V$63:$V$64)=0,"",SUM($V$63:$V$64)*2)</f>
        <v>64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369" t="str">
        <f>"▼ [Variant]"</f>
        <v>▼ [Variant]</v>
      </c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122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32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Default</v>
      </c>
      <c r="T527" s="1" t="str">
        <f>IF(Enginuity!$A$20="","",Enginuity!$A$20)</f>
        <v>Default</v>
      </c>
      <c r="U527" s="1" t="s">
        <v>121</v>
      </c>
      <c r="V527" s="1">
        <f>IF(Enginuity!$B$9="","",Enginuity!$B$9)</f>
        <v>168</v>
      </c>
      <c r="W527" s="399">
        <f>IFERROR(INDEX(CostData!$Q$3:$Q$12,MATCH(TRIM(Enginuity!$A$20),CostData!$P$3:$P$12,0)),"")</f>
        <v>3.9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5</v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5</v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322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168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122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122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>
        <f>IF(SUM($V$63:$V$64)=0,"",SUM($V$63:$V$64)*2)</f>
        <v>64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4" priority="5"/>
  </conditionalFormatting>
  <conditionalFormatting sqref="T31:W31 P31">
    <cfRule type="duplicateValues" dxfId="3" priority="1"/>
  </conditionalFormatting>
  <conditionalFormatting sqref="T60:W60 P60">
    <cfRule type="duplicateValues" dxfId="2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62" activePane="bottomLeft" state="frozen"/>
      <selection pane="bottomLeft" activeCell="U62" sqref="U62:U71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10.859523809523809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12.3475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2138</v>
      </c>
      <c r="U62" s="1" t="s">
        <v>2139</v>
      </c>
      <c r="V62" s="16" t="s">
        <v>2122</v>
      </c>
      <c r="W62" s="16" t="s">
        <v>2140</v>
      </c>
      <c r="X62" s="369" t="s">
        <v>2141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2121</v>
      </c>
      <c r="V63" s="16" t="s">
        <v>2122</v>
      </c>
      <c r="W63" s="369" t="s">
        <v>2123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2124</v>
      </c>
      <c r="V64" s="16" t="s">
        <v>2122</v>
      </c>
      <c r="W64" s="369" t="s">
        <v>2125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2126</v>
      </c>
      <c r="V65" s="16" t="s">
        <v>2122</v>
      </c>
      <c r="W65" s="369" t="s">
        <v>2127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2128</v>
      </c>
      <c r="V66" s="16" t="s">
        <v>2122</v>
      </c>
      <c r="W66" s="369" t="s">
        <v>2129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2130</v>
      </c>
      <c r="V67" s="16" t="s">
        <v>2122</v>
      </c>
      <c r="W67" s="369" t="s">
        <v>2131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2146</v>
      </c>
      <c r="U68" s="1" t="s">
        <v>2149</v>
      </c>
      <c r="V68" s="16" t="s">
        <v>2122</v>
      </c>
      <c r="W68" s="369" t="s">
        <v>2147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2132</v>
      </c>
      <c r="V69" s="16" t="s">
        <v>2122</v>
      </c>
      <c r="W69" s="369" t="s">
        <v>2133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2134</v>
      </c>
      <c r="V70" s="16" t="s">
        <v>2122</v>
      </c>
      <c r="W70" s="369" t="s">
        <v>2135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2136</v>
      </c>
      <c r="V71" s="16" t="s">
        <v>2122</v>
      </c>
      <c r="W71" s="369" t="s">
        <v>2137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2142</v>
      </c>
      <c r="U72" s="1" t="s">
        <v>2143</v>
      </c>
      <c r="V72" s="16" t="s">
        <v>1973</v>
      </c>
      <c r="W72" s="369" t="s">
        <v>2144</v>
      </c>
      <c r="X72" s="369" t="s">
        <v>2145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2142</v>
      </c>
      <c r="U73" s="1" t="s">
        <v>2143</v>
      </c>
      <c r="V73" s="16" t="s">
        <v>1973</v>
      </c>
      <c r="W73" s="369" t="s">
        <v>2144</v>
      </c>
      <c r="X73" s="369" t="s">
        <v>2145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10.859523809523809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12.3475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30" topLeftCell="A31" activePane="bottomLeft" state="frozen"/>
      <selection pane="bottomLeft" activeCell="F3" sqref="F3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_xlfn.LET(_xlpm.col,COLUMN(),_xlpm.r,ROW(CalcEngine!$A$61:$A$5000),_xlpm.hit,_xlfn._xlws.FILTER(_xlpm.r,(TRIM(CalcEngine!$A$61:$A$5000)=TRIM(Enginuity!$A$1))*(TRIM(CalcEngine!$C$61:$C$5000)=TRIM(Enginuity!$A$18))*(TRIM(CalcEngine!$D$61:$D$5000)="N/A")),IFERROR(INDEX(CalcEngine!$1:$1048576,INDEX(_xlpm.hit,1),_xlpm.col),""))</f>
        <v>▼ [Product Subtype]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[Lattice Option]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">_xlfn.LET(
_xlpm.r,ROW(CalcEngine!$A$61:$A$5000),
_xlpm.hit,_xlfn._xlws.FILTER(
_xlpm.r,
(TRIM(CalcEngine!$A$61:$A$5000)=TRIM(Enginuity!$A$1))*
(TRIM(CalcEngine!$C$61:$C$5000)=TRIM(Enginuity!$A$18))*
(TRIM(CalcEngine!$D$61:$D$5000)="N/A")
),
_xlpm.top,IFERROR(INDEX(_xlpm.hit,1),0),
_xlpm.hdr,IF(_xlpm.top=0,"",TRIM(INDEX(CalcEngine!$F:$F,_xlpm.top))),
_xlpm.src,IF(OR(_xlpm.top=0,ISERROR(MATCH(UPPER(_xlpm.hdr),{"▼ [VARIANT]","▼ [LATTICE OPTION]"},0))),"",INDEX(CalcEngine!$F:$F,_xlpm.top+1):INDEX(CalcEngine!$F:$F,_xlpm.top+29)),
IF(OR(_xlpm.top=0,ISERROR(MATCH(UPPER(_xlpm.hdr),{"▼ [VARIANT]","▼ [LATTICE OPTION]"},0))),"",IFERROR(_xlfn.UNIQUE(_xlfn._xlws.FILTER(_xlpm.src,TRIM(_xlpm.src)&lt;&gt;"")),""))
)</f>
        <v/>
      </c>
      <c r="G2" t="str" cm="1">
        <f t="array" ref="G2:G4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08-Box Lattice</v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G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G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</row>
    <row r="6" spans="1:12" x14ac:dyDescent="0.25">
      <c r="C6" t="str">
        <v>Sliding Door Standard</v>
      </c>
    </row>
    <row r="7" spans="1:12" x14ac:dyDescent="0.25">
      <c r="C7" t="str">
        <v>Sliding Window Economy</v>
      </c>
    </row>
    <row r="8" spans="1:12" x14ac:dyDescent="0.25">
      <c r="C8" t="str">
        <v>Sliding Window Performance</v>
      </c>
    </row>
    <row r="9" spans="1:12" x14ac:dyDescent="0.25">
      <c r="C9" t="str">
        <v>Swing Door 4" Profile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414"/>
    </row>
    <row r="41" spans="2:2" x14ac:dyDescent="0.25">
      <c r="B41" s="369" t="str" cm="1">
        <f t="array" ref="B41">IF(SUMPRODUCT(--(LEN(B42:B80)&gt;0))&gt;0,"▼ [Product Subtype]","")</f>
        <v/>
      </c>
    </row>
    <row r="42" spans="2:2" x14ac:dyDescent="0.25">
      <c r="B42" t="str" cm="1">
        <f t="array" ref="B42">_xlfn.LET(
_xlpm.r,ROW(CalcEngine!$A$61:$A$5000),
_xlpm.hit,_xlfn._xlws.FILTER(
_xlpm.r,
(TRIM(CalcEngine!$A$61:$A$5000)=TRIM(Enginuity!$A$1))*
(TRIM(CalcEngine!$C$61:$C$5000)=TRIM(Enginuity!$A$18))*
(TRIM(CalcEngine!$D$61:$D$5000)="N/A")
),
_xlpm.top,IFERROR(INDEX(_xlpm.hit,1),0),
_xlpm.hdr,IF(_xlpm.top=0,"",TRIM(INDEX(CalcEngine!$F:$F,_xlpm.top))),
_xlpm.src,IF(OR(_xlpm.top=0,UPPER(_xlpm.hdr)&lt;&gt;"▼ [VARIANT]"),"",INDEX(CalcEngine!$F:$F,_xlpm.top+1):INDEX(CalcEngine!$F:$F,_xlpm.top+29)),
_xlpm.arr,IF(OR(_xlpm.top=0,UPPER(_xlpm.hdr)&lt;&gt;"▼ [VARIANT]"),"",IFERROR(_xlfn.UNIQUE(_xlfn._xlws.FILTER(_xlpm.src,TRIM(_xlpm.src)&lt;&gt;"")),"")),
IF(OR(_xlpm.top=0,UPPER(_xlpm.hdr)&lt;&gt;"▼ [VARIANT]"),"",IFERROR(INDEX(_xlpm.arr,_xlfn.SEQUENCE(MIN(ROWS(_xlpm.arr),39))),""))
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37</v>
      </c>
      <c r="E2" s="243">
        <v>11.46</v>
      </c>
      <c r="F2" s="104">
        <f>IF(D2*E2=0, "", D2*E2)</f>
        <v>424.02000000000004</v>
      </c>
      <c r="G2" s="18" t="s">
        <v>9</v>
      </c>
      <c r="H2" s="10">
        <f>2*Enginuity!$B$6 + 2*Enginuity!$B$7</f>
        <v>58</v>
      </c>
      <c r="I2" s="17">
        <v>1.1000000000000001</v>
      </c>
      <c r="J2" s="82">
        <f>IF(H2*I2=0, "", H2*I2)</f>
        <v>63.800000000000004</v>
      </c>
      <c r="K2" s="342"/>
      <c r="L2" s="346"/>
      <c r="M2" s="88">
        <v>1</v>
      </c>
      <c r="N2" s="92" t="str">
        <f>Enginuity!A19</f>
        <v>N/A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58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21</v>
      </c>
      <c r="E3" s="243">
        <v>2.99</v>
      </c>
      <c r="F3" s="104">
        <f t="shared" ref="F3:F49" si="0">IF(D3*E3=0, "", D3*E3)</f>
        <v>62.790000000000006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58</v>
      </c>
      <c r="P3" s="14" t="s">
        <v>266</v>
      </c>
      <c r="Q3" s="82">
        <f>IF(AND(Enginuity!$B$6&gt;0, Enginuity!$B$7&gt;0, Enginuity!$B$13&gt;0), (2 * Enginuity!$B$7 * Enginuity!$B$13) + (2 * Enginuity!$B$6), "")</f>
        <v>122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21</v>
      </c>
      <c r="E4" s="243">
        <v>5.7</v>
      </c>
      <c r="F4" s="104">
        <f t="shared" si="0"/>
        <v>119.7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122</v>
      </c>
      <c r="P4" s="14" t="s">
        <v>263</v>
      </c>
      <c r="Q4" s="82">
        <f>IF(Enginuity!$B$6&gt;0, Enginuity!$B$6, "")</f>
        <v>21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2</v>
      </c>
      <c r="E5" s="243">
        <v>59</v>
      </c>
      <c r="F5" s="104">
        <f t="shared" si="0"/>
        <v>118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244</v>
      </c>
      <c r="P5" s="14" t="s">
        <v>264</v>
      </c>
      <c r="Q5" s="82">
        <f>IF(Enginuity!$B$7&gt;0, Enginuity!$B$7, "")</f>
        <v>8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E6" s="243">
        <v>0.56999999999999995</v>
      </c>
      <c r="F6" s="104">
        <f t="shared" si="0"/>
        <v>95.759999999999991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P6" s="14" t="s">
        <v>265</v>
      </c>
      <c r="Q6" s="82">
        <f>IF(AND(Enginuity!$B$7&gt;0, Enginuity!$B$13&gt;1), (Enginuity!$B$13 - 1) * Enginuity!$B$7, "")</f>
        <v>32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>
        <f xml:space="preserve"> ((2*1*Enginuity!$B$13 + 2*Enginuity!$B$6) * $B$7)
+ (((Enginuity!$B$13-1)*1) * $B$8)
+ ($B$2 * Enginuity!$B$13)
+ ($B$3 * Enginuity!$B$13)</f>
        <v>275.15999999999997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>
        <f>Enginuity!$B$13</f>
        <v>5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>
        <f xml:space="preserve"> ((2*1*Enginuity!$B$13 + 2*Enginuity!$B$6) * $B$9)
+ (((Enginuity!$B$13-1)*1) * $B$8)</f>
        <v>107.72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P8" s="14" t="s">
        <v>278</v>
      </c>
      <c r="Q8" s="82">
        <f>Enginuity!$B$6*2</f>
        <v>42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>
        <f>(3*Enginuity!$B$6)+(Enginuity!$B$7*Enginuity!$B$13)</f>
        <v>103</v>
      </c>
      <c r="E9" s="244">
        <v>1.86</v>
      </c>
      <c r="F9" s="104">
        <f t="shared" si="0"/>
        <v>191.58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>
        <f>Enginuity!$B$13*IF(TRIM(Enginuity!$A$21)="1'H X ?'W X Qty Panel Top Hung (Casement Profile)",2,1)</f>
        <v>5</v>
      </c>
      <c r="P9" s="14" t="s">
        <v>281</v>
      </c>
      <c r="Q9" s="97">
        <f>Enginuity!$B$6</f>
        <v>21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>
        <f>(4*Enginuity!$B$6)+(2*Enginuity!$B$7*Enginuity!$B$13)</f>
        <v>164</v>
      </c>
      <c r="E10" s="244">
        <v>1.86</v>
      </c>
      <c r="F10" s="104">
        <f t="shared" si="0"/>
        <v>305.04000000000002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>
        <f>Enginuity!$B$13*4</f>
        <v>20</v>
      </c>
      <c r="P10" s="14" t="s">
        <v>282</v>
      </c>
      <c r="Q10" s="82">
        <f>Enginuity!$B$6*2</f>
        <v>42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>
        <f>($B$2 * Enginuity!$B$13)
+ ($B$3 * Enginuity!$B$13)
+ ((2*1 + 2*Enginuity!$B$6) * $B$6)
+ ((2*1*Enginuity!$B$13 + 2*Enginuity!$B$6) * $B$7)
+ (((Enginuity!$B$13-1)*1) * $B$8)
+ (Enginuity!$B$6 * $B$4)</f>
        <v>581.6</v>
      </c>
      <c r="F11" s="104">
        <f>IF(D11*E11=0, "", D11*E11)</f>
        <v>581.6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>
        <f>Enginuity!$B$13*2</f>
        <v>10</v>
      </c>
      <c r="P11" s="14" t="s">
        <v>283</v>
      </c>
      <c r="Q11" s="82">
        <f>Enginuity!$B$6*2</f>
        <v>42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>
        <f>((2*1 + 2*Enginuity!$B$6) * $B$6)
+ ((2*1*Enginuity!$B$13 + 2*Enginuity!$B$6) * $B$9)
+ (((Enginuity!$B$13-1)*1) * $B$8)
+ (Enginuity!$B$6 * $B$4)</f>
        <v>414.15999999999997</v>
      </c>
      <c r="F12" s="104">
        <f>IF(D12*E12=0, "", D12*E12)</f>
        <v>414.15999999999997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84</v>
      </c>
      <c r="P12" s="14" t="s">
        <v>284</v>
      </c>
      <c r="Q12" s="97">
        <f>Enginuity!$B$6</f>
        <v>21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20</v>
      </c>
      <c r="P13" s="14" t="s">
        <v>285</v>
      </c>
      <c r="Q13" s="82">
        <f>Enginuity!$B$6*2</f>
        <v>42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>
        <f>IF(AND(ISNUMBER(Enginuity!B13), Enginuity!B13&gt;0), Enginuity!B13*4, "")</f>
        <v>20</v>
      </c>
      <c r="P14" s="14" t="s">
        <v>286</v>
      </c>
      <c r="Q14" s="82">
        <f>IF(Enginuity!$B$7&gt;0, 2 * Enginuity!$B$7, "")</f>
        <v>16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16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16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21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21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40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40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8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16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16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58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122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32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Curtain Wall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58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122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32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Curtain Wall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N/A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58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122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244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5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5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21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21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16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42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42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16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21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21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40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40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8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Curtain Wall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21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21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16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42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42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16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21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21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40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40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8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Curtain Wall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N/A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58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122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244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5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20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10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21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21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16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42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42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16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21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21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40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40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8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Curtain Wall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21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21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16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42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42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16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21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21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40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40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8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Curtain Wall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N/A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58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122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244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5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20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10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42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16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21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16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84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122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16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42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16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21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16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84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122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16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N/A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244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5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10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10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42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4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4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122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16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>Curtain Wall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424.02000000000004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122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16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>Curtain Wall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N/A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244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20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5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42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4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4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37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37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58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58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>
        <f>IF(Enginuity!$B$7&gt;16, "",
  IF(Enginuity!$B$7&gt;12, 3*Enginuity!$B$6,
    IF(Enginuity!$B$7&gt;=11, 2*Enginuity!$B$6,
      IF(Enginuity!$B$7&gt;7, Enginuity!$B$6, "")
    )
  )
)</f>
        <v>21</v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32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Curtain Wall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58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>
        <f>IF(Enginuity!$B$7&gt;16, "",
  IF(Enginuity!$B$7&gt;12, 3*Enginuity!$B$6,
    IF(Enginuity!$B$7&gt;=11, 2*Enginuity!$B$6,
      IF(Enginuity!$B$7&gt;7, Enginuity!$B$6, "")
    )
  )
)</f>
        <v>21</v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32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Curtain Wall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N/A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244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58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>
        <f>IF(Enginuity!$B$7&gt;16, "",
  IF(Enginuity!$B$7&gt;12, 3*Enginuity!$B$6,
    IF(Enginuity!$B$7&gt;=11, 2*Enginuity!$B$6,
      IF(Enginuity!$B$7&gt;7, Enginuity!$B$6, "")
    )
  )
)</f>
        <v>21</v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32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Curtain Wall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58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>
        <f>IF(Enginuity!$B$7&gt;16, "",
  IF(Enginuity!$B$7&gt;12, 3*Enginuity!$B$6,
    IF(Enginuity!$B$7&gt;=11, 2*Enginuity!$B$6,
      IF(Enginuity!$B$7&gt;7, Enginuity!$B$6, "")
    )
  )
)</f>
        <v>21</v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32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Curtain Wall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N/A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244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48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21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8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58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84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168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168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168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168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N/A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48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21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8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58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84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168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168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168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168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N/A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40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21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58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168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58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58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58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168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40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168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168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168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N/A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40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5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4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4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58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11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11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58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40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7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10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15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15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40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58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N/A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41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4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3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58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N/A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41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4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3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N/A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5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5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58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122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32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122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40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Curtain Wall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N/A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58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122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244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5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5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20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20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20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25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25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10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10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5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58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122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32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40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Curtain Wall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N/A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58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122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244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5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5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20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25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25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10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10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5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58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122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32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40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Curtain Wall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N/A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58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122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244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5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5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20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25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25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10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10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5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21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21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16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122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16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40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Curtain Wall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N/A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58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122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244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1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2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20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2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16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2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6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21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21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16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42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42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16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21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21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40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40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16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Curtain Wall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N/A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58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122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244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20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5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10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20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10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21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21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16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42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42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16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21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21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40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40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16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Curtain Wall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N/A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58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122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244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20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2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20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168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40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122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7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N/A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6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58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>
        <f>$Q$3</f>
        <v>122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32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21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504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41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122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37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37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122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8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504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41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20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168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84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42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21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21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16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37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122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504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504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0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41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10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168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84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168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N/A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5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3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5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N/A</v>
      </c>
      <c r="Q990" s="82">
        <f>IFERROR(
  IF(OR(Enginuity!$B$6="",Enginuity!$B$7=""),"",
     VALUE(Enginuity!$B$6)*VALUE(Enginuity!$B$7) - N(Q998)
  ),
"")</f>
        <v>168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5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>
        <f>Enginuity!$B$13</f>
        <v>5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3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>
        <f>SUMPRODUCT(O998:O1001, Q998:Q1001)</f>
        <v>188.1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504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N/A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41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4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15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N/A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41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4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15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4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N/A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2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41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3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3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15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37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21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32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30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2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11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3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2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21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N/A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37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21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32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30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11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3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2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21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N/A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81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5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Curtain Wall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81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5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Curtain Wall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81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5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Curtain Wall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58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122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32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58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122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32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N/A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122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8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81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5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Curtain Wall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81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5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Curtain Wall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129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Curtain Wall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764.03250000000003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242.54999999999998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Curtain Wall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63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Curtain Wall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58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58</v>
      </c>
      <c r="M1425" s="88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58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58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58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58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58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58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58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58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58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58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N/A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168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63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5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Curtain Wall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81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5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Curtain Wall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15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15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N/A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168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244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N/A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58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122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244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5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5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20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20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20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25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25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10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10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5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21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21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16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122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16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40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Curtain Wall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N/A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58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122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244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1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2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20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2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16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2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6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37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290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8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40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Curtain Wall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37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580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1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20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25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4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6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10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10359.08</v>
      </c>
      <c r="P1711" s="14" t="str">
        <f>IF(Enginuity!$A$19="","", "Dual Security Door Insert c/w SS Mesh + " &amp; Enginuity!$A$19)</f>
        <v>Dual Security Door Insert c/w SS Mesh + N/A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58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290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290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80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5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5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5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10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5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40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40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10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100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100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580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580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N/A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>
        <f>IF(COUNTA(Q1733:Q1750,O1733:O1750)=0,"",SUMPRODUCT(Q1733:Q1750,O1733:O1750))</f>
        <v>10359.08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27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27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135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376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25 Blade 4" Adjustable Altair Louver</v>
      </c>
      <c r="Q1785" s="82">
        <f>IFERROR(MAX(1, ROUNDUP(VALUE(Enginuity!$B$13), 0)), 1)</f>
        <v>5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5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17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17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85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Only CTW / SF Partition / Z-Louvre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Only CTW / SF Partition / Z-Louvre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Only CTW / SF Partition / Z-Louvre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Only CTW / SF Partition / Z-Louvre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N/A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2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24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11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N/A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70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3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4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5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2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2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1468.8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21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21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16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42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42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16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21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21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40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40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8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Curtain Wall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21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21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16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42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42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16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21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21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40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40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8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Curtain Wall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N/A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168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58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122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244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5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20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10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58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122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32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58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122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32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N/A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122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360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8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CTW / SF Partition / Z-Louvre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N/A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Curtain Wall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136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CTW / SF Partition / Z-Louvre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N/A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136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9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29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31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31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5" t="s">
        <v>1511</v>
      </c>
      <c r="G3" s="436"/>
      <c r="H3" s="436"/>
      <c r="I3" s="437"/>
      <c r="Q3" s="257" t="s">
        <v>1474</v>
      </c>
      <c r="R3" s="258">
        <v>25</v>
      </c>
      <c r="S3" s="268"/>
      <c r="V3" s="432" t="s">
        <v>1475</v>
      </c>
      <c r="W3" s="433"/>
      <c r="X3" s="433"/>
      <c r="Y3" s="434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5" t="s">
        <v>1510</v>
      </c>
      <c r="G7" s="436"/>
      <c r="H7" s="436"/>
      <c r="I7" s="437"/>
      <c r="Q7" s="257" t="s">
        <v>1483</v>
      </c>
      <c r="R7" s="262" t="s">
        <v>1479</v>
      </c>
      <c r="S7" s="268"/>
      <c r="V7" s="432" t="s">
        <v>1484</v>
      </c>
      <c r="W7" s="433"/>
      <c r="X7" s="433"/>
      <c r="Y7" s="434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31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31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>
        <f>$C$38</f>
        <v>32</v>
      </c>
      <c r="J3" s="327">
        <f>$C$39</f>
        <v>5</v>
      </c>
      <c r="K3" s="327">
        <f>$C$40</f>
        <v>5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>
        <f>I3</f>
        <v>32</v>
      </c>
      <c r="R3" s="328">
        <f t="shared" ref="R3:S5" si="1">J3</f>
        <v>5</v>
      </c>
      <c r="S3" s="328">
        <f t="shared" si="1"/>
        <v>5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6400.8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>
        <f t="shared" ref="I4:I12" si="2">$C$38</f>
        <v>32</v>
      </c>
      <c r="J4" s="358">
        <f>$C$39</f>
        <v>5</v>
      </c>
      <c r="K4" s="327">
        <f t="shared" ref="K4:K12" si="3">$C$40</f>
        <v>5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>
        <f t="shared" ref="Q4:Q5" si="5">I4</f>
        <v>32</v>
      </c>
      <c r="R4" s="328">
        <f t="shared" si="1"/>
        <v>5</v>
      </c>
      <c r="S4" s="328">
        <f t="shared" si="1"/>
        <v>5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2438.4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>
        <f t="shared" si="2"/>
        <v>32</v>
      </c>
      <c r="J5" s="327">
        <f t="shared" ref="J5:J12" si="7">$C$39</f>
        <v>5</v>
      </c>
      <c r="K5" s="327">
        <f t="shared" si="3"/>
        <v>5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>
        <f t="shared" si="5"/>
        <v>32</v>
      </c>
      <c r="R5" s="328">
        <f t="shared" si="1"/>
        <v>5</v>
      </c>
      <c r="S5" s="328">
        <f t="shared" si="1"/>
        <v>5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>
        <f>Enginuity!B13</f>
        <v>5</v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>
        <f t="shared" si="2"/>
        <v>32</v>
      </c>
      <c r="J6" s="327">
        <f t="shared" si="7"/>
        <v>5</v>
      </c>
      <c r="K6" s="327">
        <f t="shared" si="3"/>
        <v>5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>
        <f t="shared" si="2"/>
        <v>32</v>
      </c>
      <c r="J7" s="327">
        <f t="shared" si="7"/>
        <v>5</v>
      </c>
      <c r="K7" s="327">
        <f t="shared" si="3"/>
        <v>5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>
        <f t="shared" si="2"/>
        <v>32</v>
      </c>
      <c r="J8" s="327">
        <f t="shared" si="7"/>
        <v>5</v>
      </c>
      <c r="K8" s="327">
        <f t="shared" si="3"/>
        <v>5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>
        <f t="shared" si="2"/>
        <v>32</v>
      </c>
      <c r="J9" s="327">
        <f t="shared" si="7"/>
        <v>5</v>
      </c>
      <c r="K9" s="327">
        <f t="shared" si="3"/>
        <v>5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>
        <f t="shared" si="2"/>
        <v>32</v>
      </c>
      <c r="J10" s="327">
        <f t="shared" si="7"/>
        <v>5</v>
      </c>
      <c r="K10" s="327">
        <f t="shared" si="3"/>
        <v>5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>
        <f>C25</f>
        <v>125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>
        <f t="shared" si="2"/>
        <v>32</v>
      </c>
      <c r="J11" s="327">
        <f t="shared" si="7"/>
        <v>5</v>
      </c>
      <c r="K11" s="327">
        <f t="shared" si="3"/>
        <v>5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>
        <f t="shared" si="2"/>
        <v>32</v>
      </c>
      <c r="J12" s="327">
        <f t="shared" si="7"/>
        <v>5</v>
      </c>
      <c r="K12" s="327">
        <f t="shared" si="3"/>
        <v>5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>
        <f>SUM(I3:I11)</f>
        <v>288</v>
      </c>
      <c r="J15" s="93">
        <f>SUM(J3:J11)</f>
        <v>45</v>
      </c>
      <c r="K15" s="93">
        <f>SUM(K3:K11)</f>
        <v>45</v>
      </c>
      <c r="L15" s="281"/>
      <c r="O15" s="1"/>
      <c r="P15" s="1"/>
      <c r="Q15" s="93">
        <f>SUM(Q3:Q12)</f>
        <v>96</v>
      </c>
      <c r="R15" s="93">
        <f>SUM(R3:R11)</f>
        <v>15</v>
      </c>
      <c r="S15" s="93">
        <f>SUM(S3:S11)</f>
        <v>15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>
        <f>IF(W15=0,0,W10/W15)</f>
        <v>6.666666666666667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>
        <f>IF(W4=0,0,W16/W4)</f>
        <v>0.83333333333333337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>
        <f>W17*1.15</f>
        <v>0.95833333333333326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25</v>
      </c>
      <c r="C25" s="361">
        <f>B25*$B$6</f>
        <v>125</v>
      </c>
    </row>
    <row r="26" spans="1:40" x14ac:dyDescent="0.25">
      <c r="A26" s="337" t="s">
        <v>1719</v>
      </c>
      <c r="B26" s="356">
        <f>IF(OR($C$49="",$B$6=""),"",ROUND(($C$49/$B$6)-(2*$B$18),3))</f>
        <v>1268</v>
      </c>
      <c r="C26" s="361">
        <f>B26</f>
        <v>1268</v>
      </c>
    </row>
    <row r="27" spans="1:40" x14ac:dyDescent="0.25">
      <c r="A27" s="337" t="s">
        <v>1720</v>
      </c>
      <c r="B27" s="356">
        <f>$C$46</f>
        <v>94.416666666666671</v>
      </c>
      <c r="C27" s="361">
        <f>B27</f>
        <v>94.416666666666671</v>
      </c>
    </row>
    <row r="28" spans="1:40" x14ac:dyDescent="0.25">
      <c r="A28" s="337" t="s">
        <v>1721</v>
      </c>
      <c r="B28" s="362">
        <f>$C$47</f>
        <v>94.416666666666671</v>
      </c>
      <c r="C28" s="381">
        <f>B28</f>
        <v>94.416666666666671</v>
      </c>
    </row>
    <row r="29" spans="1:40" x14ac:dyDescent="0.25">
      <c r="A29" s="337" t="s">
        <v>1722</v>
      </c>
      <c r="B29" s="363">
        <f>ROUND($C$48,10)</f>
        <v>94.416666666699996</v>
      </c>
      <c r="C29" s="364">
        <f>B29</f>
        <v>94.416666666699996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>
        <f>IF(B30="","",B30*$B$6)</f>
        <v>10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2387.6</v>
      </c>
      <c r="C31" s="365">
        <f>B31</f>
        <v>2387.6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2438.4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6350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>
        <f>$C$55</f>
        <v>4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2387.6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>
        <f>IF(OR($B$3="",$B$6="",$C$57=""),"",ROUND($C$57/($B$3*$B$6),3))</f>
        <v>6.4</v>
      </c>
      <c r="C38" s="361">
        <f>$C$57</f>
        <v>32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>
        <f>IF(OR($B$3="",$B$6="",$C$58=""),"",ROUND($C$58/($B$3*$B$6),3))</f>
        <v>1</v>
      </c>
      <c r="C39" s="361">
        <f>$C$58</f>
        <v>5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>
        <f>IF(OR($B$3="",$B$6="",$C$61=""),"",ROUND($C$61/($B$3*$B$6),3))</f>
        <v>1</v>
      </c>
      <c r="C40" s="361">
        <f>$C$61</f>
        <v>5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94.416666666666671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94.416666666666671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94.416666666699996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6350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2387.6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2438.4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6350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>
        <f>MAX($B$6-1,0)</f>
        <v>4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2387.6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>
        <f>IF(OR($C$25="",$B$26="",$B$17=""),"",ROUNDUP(($C$25*$B$3)/INT(($B$17+$B$20)/($B$26+$B$20)),0))</f>
        <v>32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>
        <f>IF(OR($C$30="",$B$31="",$B$17=""),"",ROUNDUP(($C$30*$B$3)/INT(($B$17+$B$20)/($B$31+$B$20)),0))</f>
        <v>5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3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>
        <f>IF($C$55=0,0,ROUNDUP(($C$55*$B$3)/INT(($B$17+$B$20)/($C$56+$B$20)),0))</f>
        <v>2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>
        <f>IF($B$17="","",CEILING((((((($C$53*$C$51)+($C$54*$C$52)+($C$55*$C$56))*$B$3)+MAX((($C$53+$C$54+$C$55)*$B$3)-1,0)*$B$20)/$B$17)),1))</f>
        <v>5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31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31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2026-04-21T10:15:40Z</dcterms:modified>
</cp:coreProperties>
</file>