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105F7390-B7E7-4EA0-AF40-647076238D35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Dropdown!$F$2:INDEX(Dropdown!$F$2:$F$40,IFERROR(MATCH(2,1/(Dropdown!$F$2:$F$40&lt;&gt;""),1),1))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9" l="1" a="1"/>
  <c r="F2" i="19" s="1"/>
  <c r="B42" i="19" a="1"/>
  <c r="F1" i="19" a="1"/>
  <c r="F1" i="19" s="1"/>
  <c r="F99" i="38"/>
  <c r="B42" i="19" l="1"/>
  <c r="B41" i="19" s="1" a="1"/>
  <c r="B41" i="19" s="1"/>
  <c r="F91" i="38"/>
  <c r="Q466" i="38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AC73" i="36" l="1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B15" i="1" l="1" a="1"/>
  <c r="B15" i="1" s="1"/>
  <c r="B17" i="1" a="1"/>
  <c r="B17" i="1" s="1"/>
  <c r="B32" i="1" a="1"/>
  <c r="B32" i="1" s="1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F301" i="38"/>
  <c r="G301" i="38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30" i="38" l="1" a="1"/>
  <c r="W330" i="38" s="1"/>
  <c r="W311" i="38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273" i="38" l="1" a="1"/>
  <c r="W273" i="38" s="1"/>
  <c r="W359" i="38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W160" i="38" s="1" a="1"/>
  <c r="W160" i="38" s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W301" i="38" s="1" a="1"/>
  <c r="W301" i="38" s="1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W151" i="38" s="1" a="1"/>
  <c r="W151" i="38" s="1"/>
  <c r="H60" i="36"/>
  <c r="W159" i="38" s="1" a="1"/>
  <c r="W159" i="38" s="1"/>
  <c r="I1032" i="36"/>
  <c r="H1043" i="36"/>
  <c r="I60" i="36"/>
  <c r="I52" i="36"/>
  <c r="I1034" i="36"/>
  <c r="H53" i="36"/>
  <c r="W152" i="38" s="1" a="1"/>
  <c r="W152" i="38" s="1"/>
  <c r="H61" i="36"/>
  <c r="W161" i="38" s="1" a="1"/>
  <c r="W161" i="38" s="1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W154" i="38" s="1" a="1"/>
  <c r="W154" i="38" s="1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61" i="35"/>
  <c r="B51" i="35"/>
  <c r="B50" i="35"/>
  <c r="B58" i="35"/>
  <c r="B47" i="35"/>
  <c r="B56" i="35"/>
  <c r="B59" i="35"/>
  <c r="B53" i="35"/>
  <c r="B48" i="35"/>
  <c r="B52" i="35"/>
  <c r="B49" i="35"/>
  <c r="B60" i="35"/>
  <c r="B46" i="35"/>
  <c r="B55" i="35"/>
  <c r="B57" i="35"/>
  <c r="B54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V458" i="38" s="1"/>
  <c r="P458" i="38" s="1" a="1"/>
  <c r="P458" i="38" s="1"/>
  <c r="B6" i="1" a="1"/>
  <c r="B6" i="1" s="1"/>
  <c r="V295" i="38" l="1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427" i="38" s="1"/>
  <c r="P427" i="38" s="1" a="1"/>
  <c r="P427" i="38" s="1"/>
  <c r="V6" i="38"/>
  <c r="V9" i="38"/>
  <c r="P9" i="38" s="1"/>
  <c r="V92" i="38"/>
  <c r="P92" i="38" s="1" a="1"/>
  <c r="P92" i="38" s="1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77" i="38" l="1"/>
  <c r="P477" i="38" s="1" a="1"/>
  <c r="P477" i="38" s="1"/>
  <c r="P91" i="38" a="1"/>
  <c r="P91" i="38" s="1"/>
  <c r="V457" i="38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113" i="38" l="1" a="1"/>
  <c r="W113" i="38" s="1"/>
  <c r="P113" i="38" s="1" a="1"/>
  <c r="P113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V476" i="38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K8" i="35" l="1"/>
  <c r="K6" i="35"/>
  <c r="K9" i="35"/>
  <c r="K7" i="35"/>
  <c r="K5" i="35"/>
  <c r="S5" i="35" s="1"/>
  <c r="K4" i="35"/>
  <c r="S4" i="35" s="1"/>
  <c r="K3" i="35"/>
  <c r="K10" i="35"/>
  <c r="K11" i="35"/>
  <c r="K12" i="35"/>
  <c r="W112" i="38"/>
  <c r="P112" i="38" s="1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Q3" i="35" l="1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25" i="1" l="1"/>
  <c r="I5" i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I19" i="1"/>
  <c r="B33" i="1" l="1"/>
  <c r="B40" i="1" l="1"/>
  <c r="B35" i="1"/>
  <c r="O25" i="1"/>
  <c r="B37" i="1"/>
  <c r="B51" i="1"/>
  <c r="B53" i="1" s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<sst xmlns="http://schemas.openxmlformats.org/spreadsheetml/2006/main" count="12235" uniqueCount="2154">
  <si>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</si>
  <si>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</si>
  <si>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</si>
  <si>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</si>
  <si>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</si>
  <si>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</si>
  <si>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</si>
  <si>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</si>
  <si>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</si>
  <si>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</si>
  <si>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</si>
  <si>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</si>
  <si>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</si>
  <si>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</si>
  <si>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</si>
  <si>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</si>
  <si>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</si>
  <si>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</si>
  <si>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</si>
  <si>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</si>
  <si>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</si>
  <si>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</si>
  <si>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</si>
  <si>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</si>
  <si>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</si>
  <si>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</si>
  <si>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</si>
  <si>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</si>
  <si>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</si>
  <si>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</si>
  <si>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</si>
  <si>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</si>
  <si>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</si>
  <si>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</si>
  <si>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</si>
  <si>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</si>
  <si>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</si>
  <si>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</si>
  <si>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</si>
  <si>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</si>
  <si>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</si>
  <si>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</si>
  <si>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</si>
  <si>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</si>
  <si>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</si>
  <si>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</si>
  <si>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</si>
  <si>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</si>
  <si>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</si>
  <si>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</si>
  <si>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</si>
  <si>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</si>
  <si>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</si>
  <si>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</si>
  <si>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</si>
  <si>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</si>
  <si>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</si>
  <si>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</si>
  <si>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</si>
  <si>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</si>
  <si>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</si>
  <si>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</si>
  <si>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</si>
  <si>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</si>
  <si>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</si>
  <si>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</si>
  <si>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</si>
  <si>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</si>
  <si>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</si>
  <si>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</si>
  <si>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</si>
  <si>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</si>
  <si>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</si>
  <si>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</si>
  <si>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</si>
  <si>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</si>
  <si>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</si>
  <si>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</si>
  <si>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</si>
  <si>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</si>
  <si>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</si>
  <si>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</si>
  <si>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</si>
  <si>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</si>
  <si>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</si>
  <si>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</si>
  <si>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</si>
  <si>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</si>
  <si>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</si>
  <si>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</si>
  <si>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</si>
  <si>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</si>
  <si>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</si>
  <si>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</si>
  <si>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</si>
  <si>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</si>
  <si>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</si>
  <si>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</si>
  <si>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</si>
  <si>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</si>
  <si>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</si>
  <si>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</si>
  <si>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</si>
  <si>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</si>
  <si>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</si>
  <si>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</si>
  <si>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</si>
  <si>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</si>
  <si>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</si>
  <si>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</si>
  <si>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</si>
  <si>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</si>
  <si>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</si>
  <si>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</si>
  <si>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</si>
  <si>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</si>
  <si>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</si>
  <si>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</si>
  <si>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</si>
  <si>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</si>
  <si>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</si>
  <si>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</si>
  <si>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</si>
  <si>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</si>
  <si>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</si>
  <si>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</si>
  <si>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</si>
  <si>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</si>
  <si>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</si>
  <si>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</si>
  <si>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</si>
  <si>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</si>
  <si>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</si>
  <si>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</si>
  <si>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</si>
  <si>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</si>
  <si>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</si>
  <si>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</si>
  <si>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</si>
  <si>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</si>
  <si>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</si>
  <si>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</si>
  <si>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</si>
  <si>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</si>
  <si>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</si>
  <si>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</si>
  <si>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</si>
  <si>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</si>
  <si>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</si>
  <si>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</si>
  <si>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</si>
  <si>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</si>
  <si>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</si>
  <si>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</si>
  <si>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</si>
  <si>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</si>
  <si>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</si>
  <si>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</si>
  <si>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</si>
  <si>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</si>
  <si>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</si>
  <si>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</si>
  <si>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</si>
  <si>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</si>
  <si>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</si>
  <si>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</si>
  <si>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</si>
  <si>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</si>
  <si>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</si>
  <si>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</si>
  <si>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</si>
  <si>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</si>
  <si>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</si>
  <si>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</si>
  <si>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</si>
  <si>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</si>
  <si>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</si>
  <si>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</si>
  <si>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</si>
  <si>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</si>
  <si>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</si>
  <si>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</si>
  <si>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</si>
  <si>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</si>
  <si>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</si>
  <si>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</si>
  <si>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</si>
  <si>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</si>
  <si>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</si>
  <si>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</si>
  <si>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</si>
  <si>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</si>
  <si>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</si>
  <si>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</si>
  <si>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</si>
  <si>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</si>
  <si>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</si>
  <si>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</si>
  <si>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</si>
  <si>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</si>
  <si>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</si>
  <si>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</si>
  <si>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</si>
  <si>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</si>
  <si>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</si>
  <si>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</si>
  <si>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</si>
  <si>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</si>
  <si>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</si>
  <si>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</si>
  <si>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</si>
  <si>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</si>
  <si>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</si>
  <si>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</si>
  <si>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</si>
  <si>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</si>
  <si>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</si>
  <si>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</si>
  <si>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</si>
  <si>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</si>
  <si>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</si>
  <si>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</si>
  <si>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</si>
  <si>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</si>
  <si>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</si>
  <si>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</si>
  <si>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</si>
  <si>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</si>
  <si>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</si>
  <si>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</si>
  <si>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</si>
  <si>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</si>
  <si>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</si>
  <si>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</si>
  <si>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</si>
  <si>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</si>
  <si>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</si>
  <si>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</si>
  <si>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</si>
  <si>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</si>
  <si>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</si>
  <si>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</si>
  <si>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</si>
  <si>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</si>
  <si>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</si>
  <si>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</si>
  <si>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</si>
  <si>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</si>
  <si>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</si>
  <si>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</si>
  <si>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</si>
  <si>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</si>
  <si>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</si>
  <si>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</si>
  <si>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</si>
  <si>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</si>
  <si>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</si>
  <si>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</si>
  <si>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</si>
  <si>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</si>
  <si>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</si>
  <si>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</si>
  <si>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</si>
  <si>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</si>
  <si>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</si>
  <si>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</si>
  <si>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</si>
  <si>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</si>
  <si>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</si>
  <si>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</si>
  <si>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</si>
  <si>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</si>
  <si>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</si>
  <si>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</si>
  <si>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</si>
  <si>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</si>
  <si>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</si>
  <si>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</si>
  <si>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</si>
  <si>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</si>
  <si>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</si>
  <si>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</si>
  <si>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</si>
  <si>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</si>
  <si>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</si>
  <si>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</si>
  <si>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</si>
  <si>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</si>
  <si>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</si>
  <si>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</si>
  <si>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</si>
  <si>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</si>
  <si>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</si>
  <si>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</si>
  <si>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</si>
  <si>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</si>
  <si>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</si>
  <si>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</si>
  <si>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</si>
  <si>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</si>
  <si>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</si>
  <si>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</si>
  <si>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</si>
  <si>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</si>
  <si>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</si>
  <si>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</si>
  <si>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</si>
  <si>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</si>
  <si>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</si>
  <si>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</si>
  <si>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</si>
  <si>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</si>
  <si>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</si>
  <si>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</si>
  <si>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</si>
  <si>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</si>
  <si>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</si>
  <si>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</si>
  <si>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</si>
  <si>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</si>
  <si>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</si>
  <si>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</si>
  <si>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</si>
  <si>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</si>
  <si>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</si>
  <si>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</si>
  <si>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</si>
  <si>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</si>
  <si>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</si>
  <si>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</si>
  <si>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</si>
  <si>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</si>
  <si>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</si>
  <si>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</si>
  <si>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</si>
  <si>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</si>
  <si>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</si>
  <si>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</si>
  <si>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</si>
  <si>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</si>
  <si>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</si>
  <si>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</si>
  <si>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</si>
  <si>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</si>
  <si>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</si>
  <si>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</si>
  <si>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</si>
  <si>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</si>
  <si>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</si>
  <si>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</si>
  <si>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</si>
  <si>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</si>
  <si>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</si>
  <si>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</si>
  <si>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</si>
  <si>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</si>
  <si>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</si>
  <si>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</si>
  <si>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</si>
  <si>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</si>
  <si>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</si>
  <si>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</si>
  <si>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</si>
  <si>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</si>
  <si>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</si>
  <si>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</si>
  <si>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</si>
  <si>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</si>
  <si>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</si>
  <si>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</si>
  <si>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</si>
  <si>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</si>
  <si>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</si>
  <si>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</si>
  <si>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</si>
  <si>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</si>
  <si>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</si>
  <si>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</si>
  <si>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</si>
  <si>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</si>
  <si>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</si>
  <si>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</si>
  <si>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</si>
  <si>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</si>
  <si>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</si>
  <si>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</si>
  <si>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</si>
  <si>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</si>
  <si>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</si>
  <si>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</si>
  <si>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</si>
  <si>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</si>
  <si>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</si>
  <si>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</si>
  <si>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</si>
  <si>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</si>
  <si>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</si>
  <si>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</si>
  <si>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</si>
  <si>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</si>
  <si>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</si>
  <si>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</si>
  <si>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</si>
  <si>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</si>
  <si>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</si>
  <si>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</si>
  <si>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</si>
  <si>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</si>
  <si>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</si>
  <si>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</si>
  <si>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</si>
  <si>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</si>
  <si>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</si>
  <si>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</si>
  <si>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</si>
  <si>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</si>
  <si>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</si>
  <si>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</si>
  <si>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</si>
  <si>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</si>
  <si>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</si>
  <si>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</si>
  <si>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</si>
  <si>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</si>
  <si>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</si>
  <si>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</si>
  <si>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</si>
  <si>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</si>
  <si>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</si>
  <si>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</si>
  <si>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</si>
  <si>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</si>
  <si>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</si>
  <si>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</si>
  <si>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</si>
  <si>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</si>
  <si>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</si>
  <si>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</si>
  <si>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</si>
  <si>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</si>
  <si>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</si>
  <si>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</si>
  <si>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</si>
  <si>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</si>
  <si>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</si>
  <si>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</si>
  <si>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</si>
  <si>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</si>
  <si>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</si>
  <si>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</si>
  <si>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</si>
  <si>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</si>
  <si>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</si>
  <si>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</si>
  <si>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</si>
  <si>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</si>
  <si>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</si>
  <si>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</si>
  <si>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</si>
  <si>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</si>
  <si>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</si>
  <si>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</si>
  <si>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</si>
  <si>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</si>
  <si>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</si>
  <si>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</si>
  <si>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</si>
  <si>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</si>
  <si>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</si>
  <si>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</si>
  <si>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</si>
  <si>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</si>
  <si>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</si>
  <si>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</si>
  <si>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</si>
  <si>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</si>
  <si>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</si>
  <si>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</si>
  <si>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</si>
  <si>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</si>
  <si>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</si>
  <si>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</si>
  <si>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</si>
  <si>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</si>
  <si>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</si>
  <si>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</si>
  <si>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</si>
  <si>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</si>
  <si>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</si>
  <si>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</si>
  <si>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</si>
  <si>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</si>
  <si>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</si>
  <si>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</si>
  <si>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</si>
  <si>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</si>
  <si>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</si>
  <si>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</si>
  <si>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</si>
  <si>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</si>
  <si>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</si>
  <si>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</si>
  <si>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</si>
  <si>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</si>
  <si>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</si>
  <si>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</si>
  <si>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</si>
  <si>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</si>
  <si>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</si>
  <si>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</si>
  <si>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</si>
  <si>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</si>
  <si>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</si>
  <si>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</si>
  <si>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</si>
  <si>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</si>
  <si>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</si>
  <si>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</si>
  <si>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</si>
  <si>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</si>
  <si>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</si>
  <si>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</si>
  <si>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</si>
  <si>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</si>
  <si>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</si>
  <si>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</si>
  <si>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</si>
  <si>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</si>
  <si>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</si>
  <si>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</si>
  <si>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</si>
  <si>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</si>
  <si>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</si>
  <si>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</si>
  <si>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</si>
  <si>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</si>
  <si>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</si>
  <si>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</si>
  <si>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</si>
  <si>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</si>
  <si>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</si>
  <si>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</si>
  <si>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</si>
  <si>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</si>
  <si>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</si>
  <si>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</si>
  <si>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</si>
  <si>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</si>
  <si>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</si>
  <si>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</si>
  <si>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</si>
  <si>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</si>
  <si>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</si>
  <si>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</si>
  <si>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</si>
  <si>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</si>
  <si>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</si>
  <si>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</si>
  <si>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</si>
  <si>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</si>
  <si>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</si>
  <si>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</si>
  <si>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</si>
  <si>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</si>
  <si>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</si>
  <si>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</si>
  <si>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</si>
  <si>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</si>
  <si>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</si>
  <si>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</si>
  <si>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</si>
  <si>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</si>
  <si>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</si>
  <si>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</si>
  <si>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</si>
  <si>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</si>
  <si>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</si>
  <si>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</si>
  <si>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</si>
  <si>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</si>
  <si>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</si>
  <si>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</si>
  <si>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</si>
  <si>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</si>
  <si>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</si>
  <si>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</si>
  <si>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</si>
  <si>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</si>
  <si>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</si>
  <si>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</si>
  <si>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</si>
  <si>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</si>
  <si>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</si>
  <si>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</si>
  <si>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</si>
  <si>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</si>
  <si>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</si>
  <si>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</si>
  <si>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</si>
  <si>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</si>
  <si>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</si>
  <si>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</si>
  <si>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</si>
  <si>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</si>
  <si>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</si>
  <si>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</si>
  <si>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</si>
  <si>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</si>
  <si>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</si>
  <si>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</si>
  <si>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</si>
  <si>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</si>
  <si>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</si>
  <si>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</si>
  <si>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</si>
  <si>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</si>
  <si>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</si>
  <si>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</si>
  <si>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</si>
  <si>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</si>
  <si>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</si>
  <si>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</si>
  <si>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</si>
  <si>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</si>
  <si>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</si>
  <si>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</si>
  <si>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</si>
  <si>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</si>
  <si>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</si>
  <si>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</si>
  <si>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</si>
  <si>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</si>
  <si>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</si>
  <si>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</si>
  <si>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</si>
  <si>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</si>
  <si>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</si>
  <si>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</si>
  <si>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</si>
  <si>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</si>
  <si>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</si>
  <si>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</si>
  <si>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</si>
  <si>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</si>
  <si>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</si>
  <si>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</si>
  <si>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</si>
  <si>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</si>
  <si>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</si>
  <si>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</si>
  <si>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</si>
  <si>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</si>
  <si>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</si>
  <si>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</si>
  <si>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</si>
  <si>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</si>
  <si>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</si>
  <si>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</si>
  <si>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</si>
  <si>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</si>
  <si>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</si>
  <si>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</si>
  <si>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</si>
  <si>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</si>
  <si>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</si>
  <si>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</si>
  <si>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</si>
  <si>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</si>
  <si>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</si>
  <si>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</si>
  <si>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</si>
  <si>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</si>
  <si>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</si>
  <si>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</si>
  <si>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</si>
  <si>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</si>
  <si>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</si>
  <si>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</si>
  <si>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</si>
  <si>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</si>
  <si>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</si>
  <si>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</si>
  <si>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</si>
  <si>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</si>
  <si>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</si>
  <si>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</si>
  <si>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</si>
  <si>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</si>
  <si>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</si>
  <si>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</si>
  <si>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</si>
  <si>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</si>
  <si>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</si>
  <si>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</si>
  <si>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</si>
  <si>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</si>
  <si>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</si>
  <si>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</si>
  <si>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</si>
  <si>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</si>
  <si>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</si>
  <si>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</si>
  <si>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</si>
  <si>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</si>
  <si>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</si>
  <si>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</si>
  <si>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</si>
  <si>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</si>
  <si>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</si>
  <si>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</si>
  <si>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</si>
  <si>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</si>
  <si>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</si>
  <si>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</si>
  <si>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</si>
  <si>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</si>
  <si>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</si>
  <si>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</si>
  <si>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</si>
  <si>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</si>
  <si>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</si>
  <si>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</si>
  <si>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</si>
  <si>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</si>
  <si>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</si>
  <si>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</si>
  <si>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</si>
  <si>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</si>
  <si>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</si>
  <si>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</si>
  <si>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</si>
  <si>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</si>
  <si>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</si>
  <si>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</si>
  <si>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</si>
  <si>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</si>
  <si>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</si>
  <si>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</si>
  <si>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</si>
  <si>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</si>
  <si>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</si>
  <si>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</si>
  <si>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</si>
  <si>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</si>
  <si>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</si>
  <si>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</si>
  <si>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</si>
  <si>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</si>
  <si>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</si>
  <si>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</si>
  <si>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</si>
  <si>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</si>
  <si>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</si>
  <si>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</si>
  <si>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</si>
  <si>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</si>
  <si>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</si>
  <si>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</si>
  <si>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</si>
  <si>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</si>
  <si>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</si>
  <si>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</si>
  <si>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</si>
  <si>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</si>
  <si>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</si>
  <si>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</si>
  <si>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</si>
  <si>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</si>
  <si>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</si>
  <si>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</si>
  <si>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</si>
  <si>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</si>
  <si>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</si>
  <si>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</si>
  <si>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</si>
  <si>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</si>
  <si>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</si>
  <si>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</si>
  <si>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</si>
  <si>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</si>
  <si>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</si>
  <si>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</si>
  <si>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</si>
  <si>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</si>
  <si>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</si>
  <si>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</si>
  <si>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</si>
  <si>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</si>
  <si>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</si>
  <si>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</si>
  <si>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</si>
  <si>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</si>
  <si>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</si>
  <si>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</si>
  <si>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</si>
  <si>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</si>
  <si>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</si>
  <si>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</si>
  <si>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</si>
  <si>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</si>
  <si>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</si>
  <si>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</si>
  <si>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</si>
  <si>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</si>
  <si>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</si>
  <si>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</si>
  <si>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</si>
  <si>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</si>
  <si>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</si>
  <si>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</si>
  <si>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</si>
  <si>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</si>
  <si>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</si>
  <si>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</si>
  <si>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</si>
  <si>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</si>
  <si>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</si>
  <si>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</si>
  <si>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</si>
  <si>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</si>
  <si>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</si>
  <si>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</si>
  <si>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</si>
  <si>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</si>
  <si>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</si>
  <si>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</si>
  <si>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</si>
  <si>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</si>
  <si>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</si>
  <si>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</si>
  <si>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</si>
  <si>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</si>
  <si>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</si>
  <si>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</si>
  <si>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</si>
  <si>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</si>
  <si>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</si>
  <si>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</si>
  <si>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</si>
  <si>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</si>
  <si>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</si>
  <si>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</si>
  <si>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</si>
  <si>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</si>
  <si>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</si>
  <si>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</si>
  <si>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</si>
  <si>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</si>
  <si>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</si>
  <si>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</si>
  <si>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</si>
  <si>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</si>
  <si>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</si>
  <si>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</si>
  <si>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</si>
  <si>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</si>
  <si>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</si>
  <si>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</si>
  <si>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</si>
  <si>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</si>
  <si>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</si>
  <si>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</si>
  <si>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</si>
  <si>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</si>
  <si>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</si>
  <si>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</si>
  <si>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</si>
  <si>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</si>
  <si>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</si>
  <si>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</si>
  <si>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</si>
  <si>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</si>
  <si>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</si>
  <si>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</si>
  <si>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</si>
  <si>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</si>
  <si>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</si>
  <si>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</si>
  <si>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</si>
  <si>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</si>
  <si>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</si>
  <si>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</si>
  <si>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</si>
  <si>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</si>
  <si>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</si>
  <si>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</si>
  <si>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</si>
  <si>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</si>
  <si>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</si>
  <si>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</si>
  <si>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</si>
  <si>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</si>
  <si>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</si>
  <si>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</si>
  <si>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</si>
  <si>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</si>
  <si>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</si>
  <si>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</si>
  <si>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</si>
  <si>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</si>
  <si>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</si>
  <si>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</si>
  <si>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</si>
  <si>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</si>
  <si>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</si>
  <si>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</si>
  <si>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</si>
  <si>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</si>
  <si>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</si>
  <si>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</si>
  <si>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</si>
  <si>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</si>
  <si>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</si>
  <si>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</si>
  <si>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</si>
  <si>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</si>
  <si>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</si>
  <si>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</si>
  <si>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</si>
  <si>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</si>
  <si>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</si>
  <si>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</si>
  <si>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</si>
  <si>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</si>
  <si>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</si>
  <si>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</si>
  <si>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</si>
  <si>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</si>
  <si>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</si>
  <si>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</si>
  <si>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</si>
  <si>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</si>
  <si>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</si>
  <si>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</si>
  <si>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</si>
  <si>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</si>
  <si>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</si>
  <si>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</si>
  <si>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</si>
  <si>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</si>
  <si>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</si>
  <si>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</si>
  <si>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</si>
  <si>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</si>
  <si>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</si>
  <si>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</si>
  <si>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</si>
  <si>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</si>
  <si>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</si>
  <si>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</si>
  <si>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</si>
  <si>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</si>
  <si>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</si>
  <si>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</si>
  <si>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</si>
  <si>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</si>
  <si>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</si>
  <si>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</si>
  <si>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</si>
  <si>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</si>
  <si>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</si>
  <si>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</si>
  <si>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</si>
  <si>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</si>
  <si>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</si>
  <si>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</si>
  <si>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</si>
  <si>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</si>
  <si>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</si>
  <si>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</si>
  <si>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</si>
  <si>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</si>
  <si>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</si>
  <si>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</si>
  <si>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</si>
  <si>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</si>
  <si>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</si>
  <si>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</si>
  <si>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</si>
  <si>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</si>
  <si>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</si>
  <si>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</si>
  <si>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</si>
  <si>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</si>
  <si>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</si>
  <si>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</si>
  <si>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</si>
  <si>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</si>
  <si>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</si>
  <si>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</si>
  <si>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</si>
  <si>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</si>
  <si>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</si>
  <si>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</si>
  <si>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</si>
  <si>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</si>
  <si>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</si>
  <si>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</si>
  <si>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</si>
  <si>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</si>
  <si>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</si>
  <si>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</si>
  <si>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</si>
  <si>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</si>
  <si>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</si>
  <si>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</si>
  <si>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</si>
  <si>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</si>
  <si>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</si>
  <si>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</si>
  <si>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</si>
  <si>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</si>
  <si>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</si>
  <si>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</si>
  <si>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</si>
  <si>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</si>
  <si>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</si>
  <si>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</si>
  <si>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</si>
  <si>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</si>
  <si>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</si>
  <si>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</si>
  <si>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</si>
  <si>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</si>
  <si>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</si>
  <si>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</si>
  <si>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</si>
  <si>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</si>
  <si>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</si>
  <si>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</si>
  <si>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</si>
  <si>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</si>
  <si>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</si>
  <si>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</si>
  <si>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</si>
  <si>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</si>
  <si>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</si>
  <si>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</si>
  <si>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</si>
  <si>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</si>
  <si>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</si>
  <si>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</si>
  <si>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</si>
  <si>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</si>
  <si>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</si>
  <si>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</si>
  <si>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</si>
  <si>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</si>
  <si>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</si>
  <si>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</si>
  <si>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</si>
  <si>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</si>
  <si>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</si>
  <si>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</si>
  <si>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</si>
  <si>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</si>
  <si>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</si>
  <si>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</si>
  <si>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</si>
  <si>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</si>
  <si>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</si>
  <si>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</si>
  <si>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</si>
  <si>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</si>
  <si>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</si>
  <si>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</si>
  <si>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</si>
  <si>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</si>
  <si>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</si>
  <si>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</si>
  <si>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</si>
  <si>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</si>
  <si>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</si>
  <si>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</si>
  <si>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</si>
  <si>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</si>
  <si>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</si>
  <si>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</si>
  <si>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</si>
  <si>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</si>
  <si>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</si>
  <si>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</si>
  <si>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</si>
  <si>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</si>
  <si>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</si>
  <si>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</si>
  <si>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</si>
  <si>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</si>
  <si>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</si>
  <si>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</si>
  <si>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</si>
  <si>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</si>
  <si>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</si>
  <si>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</si>
  <si>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</si>
  <si>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</si>
  <si>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</si>
  <si>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</si>
  <si>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</si>
  <si>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</si>
  <si>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</si>
  <si>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</si>
  <si>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</si>
  <si>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</si>
  <si>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</si>
  <si>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</si>
  <si>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</si>
  <si>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</si>
  <si>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</si>
  <si>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</si>
  <si>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</si>
  <si>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</si>
  <si>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</si>
  <si>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</si>
  <si>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</si>
  <si>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</si>
  <si>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</si>
  <si>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</si>
  <si>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</si>
  <si>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</si>
  <si>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</si>
  <si>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</si>
  <si>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</si>
  <si>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</si>
  <si>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</si>
  <si>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</si>
  <si>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</si>
  <si>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</si>
  <si>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</si>
  <si>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</si>
  <si>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</si>
  <si>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</si>
  <si>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</si>
  <si>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</si>
  <si>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</si>
  <si>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</si>
  <si>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</si>
  <si>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</si>
  <si>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</si>
  <si>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</si>
  <si>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</si>
  <si>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</si>
  <si>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</si>
  <si>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</si>
  <si>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</si>
  <si>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</si>
  <si>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</si>
  <si>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</si>
  <si>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</si>
  <si>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</si>
  <si>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</si>
  <si>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</si>
  <si>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</si>
  <si>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</si>
  <si>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</si>
  <si>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</si>
  <si>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</si>
  <si>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</si>
  <si>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</si>
  <si>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</si>
  <si>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</si>
  <si>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</si>
  <si>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</si>
  <si>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</si>
  <si>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</si>
  <si>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</si>
  <si>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</si>
  <si>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</si>
  <si>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</si>
  <si>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</si>
  <si>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</si>
  <si>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</si>
  <si>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</si>
  <si>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</si>
  <si>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</si>
  <si>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</si>
  <si>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</si>
  <si>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</si>
  <si>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</si>
  <si>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</si>
  <si>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</si>
  <si>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</si>
  <si>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</si>
  <si>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</si>
  <si>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</si>
  <si>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</si>
  <si>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</si>
  <si>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</si>
  <si>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</si>
  <si>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</si>
  <si>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</si>
  <si>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</si>
  <si>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</si>
  <si>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</si>
  <si>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</si>
  <si>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</si>
  <si>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</si>
  <si>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</si>
  <si>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</si>
  <si>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</si>
  <si>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</si>
  <si>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</si>
  <si>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</si>
  <si>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</si>
  <si>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</si>
  <si>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</si>
  <si>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</si>
  <si>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</si>
  <si>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</si>
  <si>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</si>
  <si>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</si>
  <si>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</si>
  <si>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</si>
  <si>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</si>
  <si>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</si>
  <si>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</si>
  <si>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</si>
  <si>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</si>
  <si>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</si>
  <si>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</si>
  <si>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</si>
  <si>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</si>
  <si>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</si>
  <si>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</si>
  <si>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</si>
  <si>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</si>
  <si>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</si>
  <si>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</si>
  <si>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</si>
  <si>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</si>
  <si>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</si>
  <si>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</si>
  <si>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</si>
  <si>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</si>
  <si>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</si>
  <si>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</si>
  <si>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</si>
  <si>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</si>
  <si>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</si>
  <si>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</si>
  <si>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</si>
  <si>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</si>
  <si>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</si>
  <si>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</si>
  <si>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</si>
  <si>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</si>
  <si>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</si>
  <si>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</si>
  <si>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</si>
  <si>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</si>
  <si>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</si>
  <si>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</si>
  <si>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</si>
  <si>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</si>
  <si>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</si>
  <si>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</si>
  <si>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</si>
  <si>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</si>
  <si>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</si>
  <si>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</si>
  <si>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</si>
  <si>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</si>
  <si>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</si>
  <si>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</si>
  <si>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</si>
  <si>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</si>
  <si>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</si>
  <si>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</si>
  <si>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</si>
  <si>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</si>
  <si>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</si>
  <si>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</si>
  <si>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</si>
  <si>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</si>
  <si>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</si>
  <si>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</si>
  <si>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</si>
  <si>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</si>
  <si>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</si>
  <si>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</si>
  <si>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</si>
  <si>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</si>
  <si>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</si>
  <si>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</si>
  <si>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</si>
  <si>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</si>
  <si>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</si>
  <si>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</si>
  <si>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</si>
  <si>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</si>
  <si>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</si>
  <si>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</si>
  <si>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</si>
  <si>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</si>
  <si>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</si>
  <si>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</si>
  <si>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</si>
  <si>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</si>
  <si>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</si>
  <si>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</si>
  <si>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</si>
  <si>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</si>
  <si>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</si>
  <si>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</si>
  <si>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</si>
  <si>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</si>
  <si>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</si>
  <si>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</si>
  <si>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</si>
  <si>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</si>
  <si>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</si>
  <si>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</si>
  <si>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</si>
  <si>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</si>
  <si>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</si>
  <si>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</si>
  <si>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</si>
  <si>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</si>
  <si>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</si>
  <si>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</si>
  <si>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</si>
  <si>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</si>
  <si>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</si>
  <si>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</si>
  <si>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</si>
  <si>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</si>
  <si>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</si>
  <si>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</si>
  <si>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</si>
  <si>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</si>
  <si>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</si>
  <si>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</si>
  <si>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</si>
  <si>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</si>
  <si>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</si>
  <si>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</si>
  <si>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</si>
  <si>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</si>
  <si>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</si>
  <si>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</si>
  <si>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</si>
  <si>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</si>
  <si>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</si>
  <si>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</si>
  <si>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</si>
  <si>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</si>
  <si>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</si>
  <si>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</si>
  <si>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</si>
  <si>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</si>
  <si>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</si>
  <si>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</si>
  <si>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</si>
  <si>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</si>
  <si>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</si>
  <si>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</si>
  <si>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</si>
  <si>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</si>
  <si>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</si>
  <si>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</si>
  <si>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</si>
  <si>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</si>
  <si>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</si>
  <si>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</si>
  <si>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</si>
  <si>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</si>
  <si>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</si>
  <si>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</si>
  <si>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</si>
  <si>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</si>
  <si>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</si>
  <si>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</si>
  <si>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</si>
  <si>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</si>
  <si>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</si>
  <si>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</si>
  <si>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</si>
  <si>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</si>
  <si>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</si>
  <si>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</si>
  <si>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</si>
  <si>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</si>
  <si>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</si>
  <si>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</si>
  <si>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</si>
  <si>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</si>
  <si>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</si>
  <si>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</si>
  <si>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</si>
  <si>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</si>
  <si>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</si>
  <si>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</si>
  <si>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</si>
  <si>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</si>
  <si>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</si>
  <si>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</si>
  <si>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</si>
  <si>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</si>
  <si>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</si>
  <si>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</si>
  <si>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</si>
  <si>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</si>
  <si>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</si>
  <si>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</si>
  <si>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</si>
  <si>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</si>
  <si>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</si>
  <si>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</si>
  <si>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</si>
  <si>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</si>
  <si>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</si>
  <si>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</si>
  <si>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</si>
  <si>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</si>
  <si>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</si>
  <si>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</si>
  <si>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</si>
  <si>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</si>
  <si>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</si>
  <si>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</si>
  <si>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</si>
  <si>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</si>
  <si>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</si>
  <si>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</si>
  <si>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</si>
  <si>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</si>
  <si>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</si>
  <si>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</si>
  <si>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</si>
  <si>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</si>
  <si>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</si>
  <si>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</si>
  <si>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</si>
  <si>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</si>
  <si>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</si>
  <si>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</si>
  <si>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</si>
  <si>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</si>
  <si>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</si>
  <si>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</si>
  <si>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</si>
  <si>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</si>
  <si>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</si>
  <si>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</si>
  <si>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</si>
  <si>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</si>
  <si>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</si>
  <si>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</si>
  <si>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</si>
  <si>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</si>
  <si>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</si>
  <si>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</si>
  <si>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</si>
  <si>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</si>
  <si>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</si>
  <si>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</si>
  <si>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</si>
  <si>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</si>
  <si>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</si>
  <si>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</si>
  <si>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</si>
  <si>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</si>
  <si>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</si>
  <si>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</si>
  <si>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</si>
  <si>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</si>
  <si>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</si>
  <si>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</si>
  <si>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</si>
  <si>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</si>
  <si>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</si>
  <si>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</si>
  <si>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</si>
  <si>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</si>
  <si>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</si>
  <si>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</si>
  <si>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</si>
  <si>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</si>
  <si>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</si>
  <si>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</si>
  <si>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</si>
  <si>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</si>
  <si>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</si>
  <si>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</si>
  <si>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</si>
  <si>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</si>
  <si>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</si>
  <si>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</si>
  <si>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</si>
  <si>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</si>
  <si>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</si>
  <si>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</si>
  <si>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</si>
  <si>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</si>
  <si>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</si>
  <si>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</si>
  <si>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</si>
  <si>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</si>
  <si>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</si>
  <si>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</si>
  <si>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</si>
  <si>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</si>
  <si>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</si>
  <si>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</si>
  <si>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</si>
  <si>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</si>
  <si>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</si>
  <si>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</si>
  <si>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</si>
  <si>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</si>
  <si>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</si>
  <si>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</si>
  <si>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</si>
  <si>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</si>
  <si>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</si>
  <si>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</si>
  <si>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</si>
  <si>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</si>
  <si>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</si>
  <si>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</si>
  <si>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</si>
  <si>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</si>
  <si>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</si>
  <si>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</si>
  <si>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</si>
  <si>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</si>
  <si>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</si>
  <si>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</si>
  <si>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</si>
  <si>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</si>
  <si>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</si>
  <si>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</si>
  <si>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</si>
  <si>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</si>
  <si>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</si>
  <si>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</si>
  <si>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</si>
  <si>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</si>
  <si>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</si>
  <si>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</si>
  <si>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</si>
  <si>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</si>
  <si>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</si>
  <si>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</si>
  <si>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</si>
  <si>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</si>
  <si>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</si>
  <si>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</si>
  <si>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</si>
  <si>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</si>
  <si>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</si>
  <si>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</si>
  <si>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</si>
  <si>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</si>
  <si>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</si>
  <si>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</si>
  <si>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</si>
  <si>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</si>
  <si>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</si>
  <si>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</si>
  <si>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</si>
  <si>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</si>
  <si>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</si>
  <si>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</si>
  <si>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</si>
  <si>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</si>
  <si>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</si>
  <si>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</si>
  <si>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</si>
  <si>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</si>
  <si>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</si>
  <si>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</si>
  <si>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</si>
  <si>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</si>
  <si>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</si>
  <si>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</si>
  <si>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</si>
  <si>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</si>
  <si>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</si>
  <si>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</si>
  <si>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</si>
  <si>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</si>
  <si>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</si>
  <si>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</si>
  <si>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</si>
  <si>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</si>
  <si>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</si>
  <si>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</si>
  <si>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</si>
  <si>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</si>
  <si>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</si>
  <si>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</si>
  <si>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</si>
  <si>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</si>
  <si>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</si>
  <si>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</si>
  <si>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</si>
  <si>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</si>
  <si>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</si>
  <si>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</si>
  <si>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</si>
  <si>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</si>
  <si>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</si>
  <si>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</si>
  <si>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</si>
  <si>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</si>
  <si>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</si>
  <si>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</si>
  <si>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</si>
  <si>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</si>
  <si>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</si>
  <si>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</si>
  <si>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</si>
  <si>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</si>
  <si>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</si>
  <si>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</si>
  <si>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</si>
  <si>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</si>
  <si>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</si>
  <si>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</si>
  <si>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</si>
  <si>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</si>
  <si>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</si>
  <si>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</si>
  <si>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</si>
  <si>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</si>
  <si>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</si>
  <si>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</si>
  <si>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</si>
  <si>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</si>
  <si>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</si>
  <si>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</si>
  <si>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</si>
  <si>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</si>
  <si>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</si>
  <si>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</si>
  <si>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</si>
  <si>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</si>
  <si>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</si>
  <si>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</si>
  <si>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</si>
  <si>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</si>
  <si>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</si>
  <si>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</si>
  <si>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</si>
  <si>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</si>
  <si>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</si>
  <si>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</si>
  <si>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</si>
  <si>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</si>
  <si>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</si>
  <si>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</si>
  <si>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</si>
  <si>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</si>
  <si>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</si>
  <si>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</si>
  <si>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</si>
  <si>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</si>
  <si>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</si>
  <si>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</si>
  <si>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</si>
  <si>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</si>
  <si>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</si>
  <si>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</si>
  <si>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</si>
  <si>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</si>
  <si>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</si>
  <si>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</si>
  <si>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</si>
  <si>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</si>
  <si>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</si>
  <si>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</si>
  <si>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</si>
  <si>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</si>
  <si>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</si>
  <si>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</si>
  <si>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</si>
  <si>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</si>
  <si>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</si>
  <si>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</si>
  <si>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</si>
  <si>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</si>
  <si>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</si>
  <si>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</si>
  <si>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</si>
  <si>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</si>
  <si>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</si>
  <si>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</si>
  <si>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</si>
  <si>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</si>
  <si>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</si>
  <si>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</si>
  <si>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</si>
  <si>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</si>
  <si>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</si>
  <si>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</si>
  <si>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</si>
  <si>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</si>
  <si>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</si>
  <si>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</si>
  <si>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</si>
  <si>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</si>
  <si>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</si>
  <si>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</si>
  <si>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</si>
  <si>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</si>
  <si>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</si>
  <si>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</si>
  <si>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</si>
  <si>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</si>
  <si>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</si>
  <si>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</si>
  <si>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</si>
  <si>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</si>
  <si>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</si>
  <si>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</si>
  <si>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</si>
  <si>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</si>
  <si>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</si>
  <si>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</si>
  <si>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</si>
  <si>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</si>
  <si>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</si>
  <si>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</si>
  <si>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</si>
  <si>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</si>
  <si>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</si>
  <si>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</si>
  <si>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</si>
  <si>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</si>
  <si>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</si>
  <si>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</si>
  <si>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</si>
  <si>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</si>
  <si>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</si>
  <si>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</si>
  <si>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</si>
  <si>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</si>
  <si>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</si>
  <si>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</si>
  <si>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</si>
  <si>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</si>
  <si>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</si>
  <si>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</si>
  <si>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</si>
  <si>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</si>
  <si>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</si>
  <si>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</si>
  <si>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</si>
  <si>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</si>
  <si>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</si>
  <si>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</si>
  <si>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</si>
  <si>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</si>
  <si>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</si>
  <si>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</si>
  <si>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</si>
  <si>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</si>
  <si>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</si>
  <si>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</si>
  <si>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</si>
  <si>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</si>
  <si>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</si>
  <si>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</si>
  <si>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</si>
  <si>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</si>
  <si>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</si>
  <si>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</si>
  <si>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</si>
  <si>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</si>
  <si>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</si>
  <si>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</si>
  <si>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</si>
  <si>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</si>
  <si>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</si>
  <si>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</si>
  <si>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</si>
  <si>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</si>
  <si>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</si>
  <si>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</si>
  <si>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</si>
  <si>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</si>
  <si>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</si>
  <si>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</si>
  <si>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</si>
  <si>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</si>
  <si>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</si>
  <si>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</si>
  <si>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</si>
  <si>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</si>
  <si>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</si>
  <si>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</si>
  <si>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</si>
  <si>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</si>
  <si>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</si>
  <si>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</si>
  <si>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</si>
  <si>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</si>
  <si>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</si>
  <si>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</si>
  <si>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</si>
  <si>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</si>
  <si>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</si>
  <si>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</si>
  <si>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</si>
  <si>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</si>
  <si>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</si>
  <si>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</si>
  <si>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</si>
  <si>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</si>
  <si>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</si>
  <si>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</si>
  <si>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</si>
  <si>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</si>
  <si>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</si>
  <si>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</si>
  <si>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</si>
  <si>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</si>
  <si>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</si>
  <si>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</si>
  <si>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</si>
  <si>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</si>
  <si>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</si>
  <si>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</si>
  <si>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</si>
  <si>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</si>
  <si>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</si>
  <si>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</si>
  <si>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</si>
  <si>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</si>
  <si>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</si>
  <si>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</si>
  <si>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</si>
  <si>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</si>
  <si>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</si>
  <si>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</si>
  <si>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</si>
  <si>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</si>
  <si>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</si>
  <si>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</si>
  <si>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</si>
  <si>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</si>
  <si>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</si>
  <si>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</si>
  <si>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</si>
  <si>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</si>
  <si>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</si>
  <si>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</si>
  <si>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</si>
  <si>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</si>
  <si>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</si>
  <si>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</si>
  <si>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</si>
  <si>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</si>
  <si>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</si>
  <si>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</si>
  <si>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</si>
  <si>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</si>
  <si>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</si>
  <si>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</si>
  <si>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</si>
  <si>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</si>
  <si>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</si>
  <si>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</si>
  <si>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</si>
  <si>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</si>
  <si>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</si>
  <si>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</si>
  <si>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</si>
  <si>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</si>
  <si>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</si>
  <si>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</si>
  <si>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</si>
  <si>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</si>
  <si>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</si>
  <si>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</si>
  <si>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</si>
  <si>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</si>
  <si>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</si>
  <si>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</si>
  <si>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</si>
  <si>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</si>
  <si>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</si>
  <si>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</si>
  <si>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</si>
  <si>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</si>
  <si>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</si>
  <si>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</si>
  <si>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</si>
  <si>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</si>
  <si>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</si>
  <si>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</si>
  <si>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</si>
  <si>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</si>
  <si>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</si>
  <si>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</si>
  <si>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</si>
  <si>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</si>
  <si>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</si>
  <si>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</si>
  <si>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</si>
  <si>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</si>
  <si>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</si>
  <si>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</si>
  <si>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</si>
  <si>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</si>
  <si>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</si>
  <si>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</si>
  <si>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</si>
  <si>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</si>
  <si>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</si>
  <si>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</si>
  <si>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</si>
  <si>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</si>
  <si>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</si>
  <si>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</si>
  <si>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</si>
  <si>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</si>
  <si>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</si>
  <si>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</si>
  <si>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</si>
  <si>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</si>
  <si>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</si>
  <si>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</si>
  <si>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</si>
  <si>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</si>
  <si>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</si>
  <si>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</si>
  <si>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</si>
  <si>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</si>
  <si>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</si>
  <si>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</si>
  <si>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</si>
  <si>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</si>
  <si>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</si>
  <si>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</si>
  <si>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</si>
  <si>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</si>
  <si>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</si>
  <si>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</si>
  <si>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</si>
  <si>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</si>
  <si>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</si>
  <si>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</si>
  <si>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</si>
  <si>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</si>
  <si>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</si>
  <si>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</si>
  <si>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</si>
  <si>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</si>
  <si>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</si>
  <si>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</si>
  <si>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</si>
  <si>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</si>
  <si>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</si>
  <si>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</si>
  <si>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</si>
  <si>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</si>
  <si>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</si>
  <si>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</si>
  <si>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</si>
  <si>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</si>
  <si>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</si>
  <si>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</si>
  <si>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</si>
  <si>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</si>
  <si>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</si>
  <si>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</si>
  <si>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</si>
  <si>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</si>
  <si>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</si>
  <si>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</si>
  <si>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</si>
  <si>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</si>
  <si>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</si>
  <si>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</si>
  <si>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</si>
  <si>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</si>
  <si>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</si>
  <si>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</si>
  <si>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</si>
  <si>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</si>
  <si>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</si>
  <si>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</si>
  <si>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</si>
  <si>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</si>
  <si>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</si>
  <si>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</si>
  <si>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</si>
  <si>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</si>
  <si>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</si>
  <si>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</si>
  <si>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</si>
  <si>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</si>
  <si>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</si>
  <si>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</si>
  <si>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</si>
  <si>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</si>
  <si>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</si>
  <si>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</si>
  <si>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</si>
  <si>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</si>
  <si>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</si>
  <si>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</si>
  <si>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</si>
  <si>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</si>
  <si>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</si>
  <si>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</si>
  <si>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</si>
  <si>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</si>
  <si>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</si>
  <si>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</si>
  <si>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</si>
  <si>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</si>
  <si>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</si>
  <si>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</si>
  <si>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</si>
  <si>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</si>
  <si>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</si>
  <si>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</si>
  <si>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</si>
  <si>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</si>
  <si>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</si>
  <si>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</si>
  <si>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</si>
  <si>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</si>
  <si>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</si>
  <si>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</si>
  <si>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</si>
  <si>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</si>
  <si>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</si>
  <si>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</si>
  <si>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</si>
  <si>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</si>
  <si>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</si>
  <si>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</si>
  <si>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</si>
  <si>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</si>
  <si>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</si>
  <si>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</si>
  <si>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</si>
  <si>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</si>
  <si>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</si>
  <si>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</si>
  <si>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</si>
  <si>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</si>
  <si>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</si>
  <si>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</si>
  <si>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</si>
  <si>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</si>
  <si>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</si>
  <si>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</si>
  <si>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</si>
  <si>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</si>
  <si>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</si>
  <si>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</si>
  <si>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</si>
  <si>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</si>
  <si>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</si>
  <si>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</si>
  <si>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</si>
  <si>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</si>
  <si>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</si>
  <si>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</si>
  <si>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</si>
  <si>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</si>
  <si>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</si>
  <si>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</si>
  <si>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</si>
  <si>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</si>
  <si>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</si>
  <si>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</si>
  <si>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</si>
  <si>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</si>
  <si>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</si>
  <si>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</si>
  <si>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</si>
  <si>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</si>
  <si>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</si>
  <si>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</si>
  <si>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</si>
  <si>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</si>
  <si>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</si>
  <si>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</si>
  <si>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</si>
  <si>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</si>
  <si>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</si>
  <si>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</si>
  <si>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</si>
  <si>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</si>
  <si>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</si>
  <si>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</si>
  <si>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</si>
  <si>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</si>
  <si>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</si>
  <si>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</si>
  <si>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</si>
  <si>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</si>
  <si>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</si>
  <si>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</si>
  <si>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</si>
  <si>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</si>
  <si>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</si>
  <si>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</si>
  <si>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</si>
  <si>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</si>
  <si>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</si>
  <si>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</si>
  <si>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</si>
  <si>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</si>
  <si>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</si>
  <si>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</si>
  <si>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</si>
  <si>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</si>
  <si>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</si>
  <si>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</si>
  <si>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</si>
  <si>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</si>
  <si>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</si>
  <si>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</si>
  <si>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</si>
  <si>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</si>
  <si>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</si>
  <si>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</si>
  <si>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</si>
  <si>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</si>
  <si>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</si>
  <si>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</si>
  <si>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</si>
  <si>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</si>
  <si>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</si>
  <si>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</si>
  <si>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</si>
  <si>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</si>
  <si>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</si>
  <si>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</si>
  <si>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</si>
  <si>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</si>
  <si>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</si>
  <si>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</si>
  <si>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</si>
  <si>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</si>
  <si>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</si>
  <si>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</si>
  <si>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</si>
  <si>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</si>
  <si>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</si>
  <si>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</si>
  <si>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</si>
  <si>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</si>
  <si>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 xml:space="preserve">12ftW X 5ftH  Aluminium &amp; Glass Standard 4 Panel Install Only CTW / SF Partition / Z-Louvre P/C Z-Louvre Blade - 5" Curtain Wall </t>
  </si>
  <si>
    <t xml:space="preserve">8ftW X 9ftH  Aluminium &amp; Glass Standard 3 Panel Install Only CTW / SF Partition / Z-Louvre P/C Z-Louvre Blade - 5" Curtain Wall </t>
  </si>
  <si>
    <t>▼ [Service Mode]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</si>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</sst>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2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  <xf numFmtId="0" fontId="0" fillId="0" borderId="0" xfId="0" applyBorder="1" applyAlignment="1">
      <alignment vertical="center"/>
    </xf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A21" sqref="A21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5ftH  Aluminium &amp; Glass Standard  Panel ▼ [Service Mode] Sliding Door Economy M/B Default 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2</v>
      </c>
      <c r="O3" s="129" t="s">
        <v>437</v>
      </c>
      <c r="P3" s="35">
        <f>IF(SUM(P5:P24)=0,"",SUM(P5:P24))</f>
        <v>7555.0147783569046</v>
      </c>
    </row>
    <row r="4" spans="1:30" x14ac:dyDescent="0.25">
      <c r="A4" s="51" t="s">
        <v>80</v>
      </c>
      <c r="B4" s="28">
        <v>5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>
        <v>1</v>
      </c>
      <c r="L5" s="185" t="s">
        <v>2151</v>
      </c>
      <c r="M5" s="32" t="s">
        <v>176</v>
      </c>
      <c r="N5" s="32">
        <v>1</v>
      </c>
      <c r="O5" s="186">
        <v>4150.1740515436413</v>
      </c>
      <c r="P5" s="187">
        <f>IF(OR(NOT(ISNUMBER(N5)),NOT(ISNUMBER(O5))),"",N5*O5)</f>
        <v>4150.1740515436413</v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>
        <v>2</v>
      </c>
      <c r="L6" s="185" t="s">
        <v>2150</v>
      </c>
      <c r="M6" s="32" t="s">
        <v>176</v>
      </c>
      <c r="N6" s="32">
        <v>1</v>
      </c>
      <c r="O6" s="186">
        <v>3404.8407268132632</v>
      </c>
      <c r="P6" s="187">
        <f t="shared" ref="P6:P24" si="1">IF(OR(NOT(ISNUMBER(N6)),NOT(ISNUMBER(O6))),"",N6*O6)</f>
        <v>3404.8407268132632</v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5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60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 t="str">
        <f>IF(B14&lt;&gt;"", B14, IFERROR(ROUNDUP(B6*304.8/B15,0),""))</f>
        <v/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t="str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/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2152</v>
      </c>
      <c r="B17" s="403" t="str" cm="1">
        <f t="array" ref="B17">IF(SUMPRODUCT(--(LEN(Dropdown!$B$42:$B$80)&gt;0))&gt;0,"↓Product Subtype↓","")</f>
        <v>↓Product Subtype↓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11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1792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976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2153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>
        <f>IF(K5="","",K5)</f>
        <v>1</v>
      </c>
      <c r="L27" s="132" t="str">
        <f>IF(L5="","",L5)</f>
        <v xml:space="preserve">8ftW X 9ftH  Aluminium &amp; Glass Standard 3 Panel Install Only CTW / SF Partition / Z-Louvre P/C Z-Louvre Blade - 5" Curtain Wall </v>
      </c>
      <c r="M27" s="131" t="str">
        <f>IF(M5="","",M5)</f>
        <v>Set</v>
      </c>
      <c r="N27" s="133">
        <v>1</v>
      </c>
      <c r="O27" s="134">
        <v>1882.1039323750415</v>
      </c>
      <c r="P27" s="134">
        <f>IF(OR(NOT(ISNUMBER(N27)),NOT(ISNUMBER(O27))),"",N27*O27)</f>
        <v>1882.1039323750415</v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>
        <f t="shared" ref="K28:K46" si="2">IF(K6="","",K6)</f>
        <v>2</v>
      </c>
      <c r="L28" s="132" t="str">
        <f t="shared" ref="L28:M46" si="3">IF(L6="","",L6)</f>
        <v xml:space="preserve">12ftW X 5ftH  Aluminium &amp; Glass Standard 4 Panel Install Only CTW / SF Partition / Z-Louvre P/C Z-Louvre Blade - 5" Curtain Wall </v>
      </c>
      <c r="M28" s="131" t="str">
        <f t="shared" si="3"/>
        <v>Set</v>
      </c>
      <c r="N28" s="133">
        <v>1</v>
      </c>
      <c r="O28" s="135">
        <v>1544.095269609815</v>
      </c>
      <c r="P28" s="134">
        <f t="shared" ref="P28:P46" si="4">IF(OR(NOT(ISNUMBER(N28)),NOT(ISNUMBER(O28))),"",N28*O28)</f>
        <v>1544.095269609815</v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0.59596199999999999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167.976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>
        <f>IF(SUM(P27:P46)=0,"",SUM(P27:P46))</f>
        <v>3426.1992019848567</v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>
        <f>IF(AND(COUNT(P5:P24)=0,COUNT(P27:P46)=0),"",SUM(P5:P24)-SUM(P27:P46))</f>
        <v>4128.8155763720479</v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 t="e">
        <f>ROUNDUP(Enginuity!B6 * 304.8 / Enginuity!B15, 0) * 2</f>
        <v>#VALUE!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 t="e">
        <f>ROUNDUP(Enginuity!B6 * 304.8 / Enginuity!B15, 0) * 8</f>
        <v>#VALUE!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6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  <dataValidation type="list" allowBlank="1" showInputMessage="1" showErrorMessage="1" sqref="B18" xr:uid="{E640B23B-CF9F-46C5-B2C9-2B8B6B1FEE54}">
      <formula1>EBB_List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73" zoomScale="75" zoomScaleNormal="75" workbookViewId="0">
      <selection activeCell="J113" sqref="J113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1.55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456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1.53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 t="str">
        <f>IFERROR(IF(OR(Enginuity!$B$7="",IF(Enginuity!$B$14&lt;&gt;"",Enginuity!$B$14,Enginuity!$B$13)=""),"",IF(Enginuity!$B$14&lt;&gt;"",Enginuity!$B$14,Enginuity!$B$13)*2*Enginuity!$B$7),"")</f>
        <v/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1.19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11.628000000000002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192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3.81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 t="str">
        <f>IFERROR(IF(OR(Enginuity!$B$7="",IF(Enginuity!$B$14&lt;&gt;"",Enginuity!$B$14,Enginuity!$B$13)=""),"",IF(Enginuity!$B$14&lt;&gt;"",Enginuity!$B$14,Enginuity!$B$13)*2*Enginuity!$B$7),"")</f>
        <v/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2.79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12.192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1.75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 t="str">
        <f>IF(OR(Enginuity!B13="",Enginuity!B6="",Enginuity!B7=""),"",Enginuity!B13*Enginuity!B7+Enginuity!B13*3*Enginuity!B6)</f>
        <v/>
      </c>
      <c r="W14" s="399" t="str">
        <f>IFERROR(IF(V14="","",V14*($W$12+$W$13)),"")</f>
        <v/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 t="str">
        <f>IF(OR(Enginuity!B13="",Enginuity!B6="",Enginuity!B7=""),"",Enginuity!B13*Enginuity!B7+Enginuity!B13*5*Enginuity!B6)</f>
        <v/>
      </c>
      <c r="W15" s="399" t="str">
        <f t="shared" ref="W15:W16" si="1">IFERROR(IF(V15="","",V15*($W$12+$W$13)),"")</f>
        <v/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 t="str">
        <f>IF(OR(Enginuity!B13="",Enginuity!B6="",Enginuity!B7=""),"",Enginuity!B13*2*Enginuity!B7+Enginuity!B13*7*Enginuity!B6)</f>
        <v/>
      </c>
      <c r="W16" s="412" t="str">
        <f t="shared" si="1"/>
        <v/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274" t="s">
        <v>254</v>
      </c>
      <c r="B61" s="369" t="s">
        <v>1845</v>
      </c>
      <c r="C61" s="369" t="s">
        <v>3</v>
      </c>
      <c r="D61" s="369" t="s">
        <v>1791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1857</v>
      </c>
      <c r="J61" s="369" t="s">
        <v>1858</v>
      </c>
      <c r="K61" s="369" t="s">
        <v>1859</v>
      </c>
      <c r="L61" s="369" t="s">
        <v>1860</v>
      </c>
      <c r="M61" s="410">
        <v>0.54649999999999999</v>
      </c>
      <c r="N61" s="369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1811</v>
      </c>
      <c r="S61" s="24" t="s">
        <v>1924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61" s="399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F62" s="369" t="s">
        <v>2085</v>
      </c>
      <c r="G62" s="369" t="s">
        <v>1865</v>
      </c>
      <c r="H62" s="369" t="s">
        <v>1865</v>
      </c>
      <c r="P62" s="1" t="e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t="e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F63" s="369" t="s">
        <v>2086</v>
      </c>
      <c r="G63" s="369" t="s">
        <v>1866</v>
      </c>
      <c r="H63" s="369" t="s">
        <v>1866</v>
      </c>
      <c r="P63" s="1" t="e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F64" s="369" t="s">
        <v>2087</v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>⬒ Default</v>
      </c>
      <c r="T77" s="1" t="str">
        <f>IF(Enginuity!$A$20="","",Enginuity!$A$20)</f>
        <v>Default</v>
      </c>
      <c r="U77" s="1" t="s">
        <v>121</v>
      </c>
      <c r="V77" s="1">
        <f>IF(Enginuity!$B$9="","",Enginuity!$B$9)</f>
        <v>60</v>
      </c>
      <c r="W77" s="399">
        <f>IFERROR(INDEX(CostData!$Q$3:$Q$12,MATCH(TRIM(Enginuity!$A$20),CostData!$P$3:$P$12,0)),"")</f>
        <v>3.9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 t="str">
        <f>IF(Enginuity!$B$13&gt;0,Enginuity!$B$13,"")</f>
        <v/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t="str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e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 t="e">
        <f>IF(SUM($V$61:$V$64)=0,"",SUM($V$61:$V$64))</f>
        <v>#VALUE!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60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e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 t="e">
        <f>IF($V$62="","",$V$62)</f>
        <v>#VALUE!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e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 t="e">
        <f>IF($V$62="","",$V$62)</f>
        <v>#VALUE!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274" t="s">
        <v>254</v>
      </c>
      <c r="C90" s="369" t="s">
        <v>3</v>
      </c>
      <c r="P90" s="1" t="e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90" s="1" t="str">
        <f>IF($S90="","",IFERROR(_xlfn.XLOOKUP($S90,CostData!$U$22:$U$1000,CostData!$T$22:$T$1000,""),""))</f>
        <v>Gasket</v>
      </c>
      <c r="R90" s="16" t="s">
        <v>1931</v>
      </c>
      <c r="S90" s="24">
        <v>6154</v>
      </c>
      <c r="T90" s="1" t="str" cm="1">
        <f t="array" ref="T90">_xlfn.LET(_xlpm.cd,INDEX($S:$S,ROW()),IF(_xlpm.cd="","",IFERROR(_xlfn.XLOOKUP(_xlpm.cd,CostData!$U$22:$U$1000,CostData!$W$22:$W$1000,""),"")))</f>
        <v>6154 Gasket</v>
      </c>
      <c r="U90" s="1" t="str">
        <f>IF($S90="","",IFERROR(_xlfn.XLOOKUP($S90,CostData!$U$22:$U$1000,CostData!$AA$22:$AA$1000,""),""))</f>
        <v>Ft</v>
      </c>
      <c r="V90" s="1" t="e">
        <f>IF(SUM($V$63:$V$64)=0,"",SUM($V$63:$V$64)*2)</f>
        <v>#VALUE!</v>
      </c>
      <c r="W90" s="399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414" t="str">
        <f>"▼ [Lattice Option]"</f>
        <v>▼ [Lattice Option]</v>
      </c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34</v>
      </c>
      <c r="W91" s="420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G92" s="369" t="s">
        <v>2085</v>
      </c>
      <c r="M92" s="410">
        <v>0.54649999999999999</v>
      </c>
      <c r="N92" s="369">
        <v>1500</v>
      </c>
      <c r="O92" s="369" t="s">
        <v>1956</v>
      </c>
      <c r="P92" s="1" t="e" cm="1">
        <f t="array" ref="P9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>#VALUE!</v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92" s="399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G93" s="369" t="s">
        <v>2086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G94" s="369" t="s">
        <v>2087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34</v>
      </c>
      <c r="W94" s="399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e" cm="1">
        <f t="array" ref="P9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>#VALUE!</v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95" s="399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_xlfn.LET(_xlpm.w,Enginuity!$B$6,_xlpm.h,Enginuity!$B$7,_xlpm.tot,IF(_xlpm.h&gt;8,_xlpm.w,0),IF(_xlpm.tot=0,"",_xlpm.tot))</f>
        <v/>
      </c>
      <c r="W96" s="399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34</v>
      </c>
      <c r="W97" s="399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e" cm="1">
        <f t="array" ref="P9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>#VALUE!</v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98" s="399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4" t="s">
        <v>254</v>
      </c>
      <c r="C99" s="369" t="s">
        <v>1989</v>
      </c>
      <c r="E99" s="369" t="str">
        <v/>
      </c>
      <c r="F99" s="451" t="str">
        <f>"▼ [Lattice Option]"</f>
        <v>▼ [Lattice Option]</v>
      </c>
      <c r="G99" s="451"/>
      <c r="H99" s="451"/>
      <c r="P99" s="1" t="str" cm="1">
        <f t="array" ref="P99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_xlfn.LET(_xlpm.w,Enginuity!$B$6,_xlpm.h,Enginuity!$B$7,_xlpm.tot,IF(_xlpm.h&gt;8,_xlpm.w,0),IF(_xlpm.tot=0,"",_xlpm.tot))</f>
        <v/>
      </c>
      <c r="W99" s="399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4" t="s">
        <v>254</v>
      </c>
      <c r="C100" s="369" t="s">
        <v>1989</v>
      </c>
      <c r="E100" s="369" t="str">
        <v/>
      </c>
      <c r="F100" s="451" t="s">
        <v>2085</v>
      </c>
      <c r="G100" s="451"/>
      <c r="H100" s="451"/>
      <c r="P100" s="1" t="str" cm="1">
        <f t="array" ref="P100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34</v>
      </c>
      <c r="W100" s="399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4" t="s">
        <v>254</v>
      </c>
      <c r="C101" s="369" t="s">
        <v>1989</v>
      </c>
      <c r="F101" s="451" t="s">
        <v>2086</v>
      </c>
      <c r="G101" s="451"/>
      <c r="H101" s="451"/>
      <c r="P101" s="1" t="e" cm="1">
        <f t="array" ref="P10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>#VALUE!</v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101" s="399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4" t="s">
        <v>254</v>
      </c>
      <c r="C102" s="369" t="s">
        <v>1989</v>
      </c>
      <c r="F102" s="451" t="s">
        <v>2087</v>
      </c>
      <c r="G102" s="451"/>
      <c r="H102" s="451"/>
      <c r="P102" s="1" t="str" cm="1">
        <f t="array" ref="P10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_xlfn.LET(_xlpm.w,Enginuity!$B$6,_xlpm.h,Enginuity!$B$7,_xlpm.tot,IF(_xlpm.h&gt;8,_xlpm.w,0),IF(_xlpm.tot=0,"",_xlpm.tot))</f>
        <v/>
      </c>
      <c r="W102" s="399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4" t="s">
        <v>254</v>
      </c>
      <c r="C103" s="369" t="s">
        <v>1989</v>
      </c>
      <c r="F103" s="451"/>
      <c r="G103" s="451"/>
      <c r="H103" s="451"/>
      <c r="P103" s="1" t="str" cm="1">
        <f t="array" ref="P10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34</v>
      </c>
      <c r="W103" s="399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4" t="s">
        <v>254</v>
      </c>
      <c r="C104" s="369" t="s">
        <v>1989</v>
      </c>
      <c r="F104" s="451"/>
      <c r="G104" s="451"/>
      <c r="H104" s="451"/>
      <c r="P104" s="1" t="e" cm="1">
        <f t="array" ref="P10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>#VALUE!</v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104" s="399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4" t="s">
        <v>254</v>
      </c>
      <c r="C105" s="369" t="s">
        <v>1989</v>
      </c>
      <c r="F105" s="451"/>
      <c r="G105" s="451"/>
      <c r="H105" s="451"/>
      <c r="P105" s="1" t="str" cm="1">
        <f t="array" ref="P10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4" t="s">
        <v>254</v>
      </c>
      <c r="C106" s="369" t="s">
        <v>1989</v>
      </c>
      <c r="F106" s="451"/>
      <c r="G106" s="451"/>
      <c r="H106" s="451"/>
      <c r="P106" s="1" t="str" cm="1">
        <f t="array" ref="P10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34</v>
      </c>
      <c r="W106" s="399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4" t="s">
        <v>254</v>
      </c>
      <c r="C107" s="369" t="s">
        <v>1989</v>
      </c>
      <c r="F107" s="451"/>
      <c r="G107" s="451"/>
      <c r="H107" s="451"/>
      <c r="P107" s="1" t="e" cm="1">
        <f t="array" ref="P10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>#VALUE!</v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107" s="399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4" t="s">
        <v>254</v>
      </c>
      <c r="C108" s="369" t="s">
        <v>1989</v>
      </c>
      <c r="F108" s="451"/>
      <c r="G108" s="451"/>
      <c r="H108" s="451"/>
      <c r="P108" s="1" t="str" cm="1">
        <f t="array" ref="P10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4" t="s">
        <v>254</v>
      </c>
      <c r="C109" s="369" t="s">
        <v>1989</v>
      </c>
      <c r="F109" s="451"/>
      <c r="G109" s="451"/>
      <c r="H109" s="451"/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F110" s="451"/>
      <c r="G110" s="451"/>
      <c r="H110" s="451"/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>⬒ Default</v>
      </c>
      <c r="T112" s="1" t="str">
        <f>IF(Enginuity!$A$20="","",Enginuity!$A$20)</f>
        <v>Default</v>
      </c>
      <c r="U112" s="1" t="s">
        <v>121</v>
      </c>
      <c r="V112" s="1">
        <f>IF(Enginuity!$B$9="","",Enginuity!$B$9)</f>
        <v>60</v>
      </c>
      <c r="W112" s="399">
        <f>IFERROR(INDEX(CostData!$Q$3:$Q$12,MATCH(TRIM(Enginuity!$A$20),CostData!$P$3:$P$12,0)),"")</f>
        <v>3.9</v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 t="str">
        <f>IF(OR(TRIM(Enginuity!A21)=TRIM(G92),TRIM(Enginuity!A22)=TRIM(G92)),1,"")</f>
        <v/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4" t="s">
        <v>254</v>
      </c>
      <c r="C118" s="369" t="s">
        <v>1989</v>
      </c>
      <c r="P118" s="1" t="e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#VALUE!</v>
      </c>
      <c r="Q118" s="1" t="e">
        <f>IF($S118="","",IFERROR(_xlfn.XLOOKUP($S118,CostData!$U$22:$U$1000,CostData!$T$22:$T$1000,""),""))</f>
        <v>#VALUE!</v>
      </c>
      <c r="R118" s="16" t="e">
        <f>IF($S118="","",$T118)</f>
        <v>#VALUE!</v>
      </c>
      <c r="S118" s="24" t="e" cm="1">
        <f t="array" ref="S118">IF($V118="","",_xlfn.LET(_xlpm.v,TRIM(Enginuity!$A$21),_xlfn.SWITCH(_xlpm.v,"Curtain Wall","BT40","SF 2""","BT25","SF 3""","BT25","SF 4""","BT25","Z-Louvre Blade - 2""","BT15","Z-Louvre Blade - 5""","BT15","")))</f>
        <v>#VALUE!</v>
      </c>
      <c r="T118" s="1" t="e" cm="1">
        <f t="array" ref="T118">_xlfn.LET(_xlpm.cd,INDEX($S:$S,ROW()),IF(_xlpm.cd="","",IFERROR(_xlfn.XLOOKUP(_xlpm.cd,CostData!$U$22:$U$1000,CostData!$W$22:$W$1000,""),"")))</f>
        <v>#VALUE!</v>
      </c>
      <c r="U118" s="1" t="e">
        <f>IF($S118="","",IFERROR(_xlfn.XLOOKUP($S118,CostData!$U$22:$U$1000,CostData!$AA$22:$AA$1000,""),""))</f>
        <v>#VALUE!</v>
      </c>
      <c r="V118" s="1" t="e">
        <f>_xlfn.LET(_xlpm.tot,SUM(N($V$91),N($V$92),N($V$93))*2,IF(_xlpm.tot=0,"",_xlpm.tot))</f>
        <v>#VALUE!</v>
      </c>
      <c r="W118" s="399" t="e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#VALUE!</v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369" t="str">
        <f>"▼ [Lattice Option]"</f>
        <v>▼ [Lattice Option]</v>
      </c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0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3.58</v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F152" s="369" t="s">
        <v>2085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399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3.63</v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F153" s="369" t="s">
        <v>2086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399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2.2599999999999998</v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F154" s="369" t="s">
        <v>2087</v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399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3.52</v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3.01</v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399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3.76</v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399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3.26</v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2.4</v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1.78</v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4.4400000000000004</v>
      </c>
    </row>
    <row r="161" spans="1:23" x14ac:dyDescent="0.25">
      <c r="A161" s="274" t="s">
        <v>254</v>
      </c>
      <c r="C161" s="369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1.27</v>
      </c>
    </row>
    <row r="162" spans="1:23" x14ac:dyDescent="0.25">
      <c r="A162" s="274" t="s">
        <v>254</v>
      </c>
      <c r="C162" s="369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/>
      </c>
      <c r="T162" s="1" t="str">
        <f>IF(Enginuity!$A$21="","",Enginuity!$A$21)</f>
        <v/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>167</v>
      </c>
      <c r="Q167" s="1" t="s">
        <v>1832</v>
      </c>
      <c r="R167" s="16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60</v>
      </c>
      <c r="W167" s="399">
        <f>IFERROR(INDEX(CostData!$Q$3:$Q$12,MATCH(TRIM(Enginuity!$A$20),CostData!$P$3:$P$12,0)),"")</f>
        <v>3.9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>174</v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8</v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 t="str">
        <f>_xlfn.LET(_xlpm.p,IF(Enginuity!$B$14&lt;&gt;"",Enginuity!$B$14,Enginuity!$B$13),IF(_xlpm.p="","",4*_xlpm.p))</f>
        <v/>
      </c>
      <c r="W175" s="399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0.7</v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 t="str">
        <f>_xlfn.LET(_xlpm.p,IF(Enginuity!$B$14&lt;&gt;"",Enginuity!$B$14,Enginuity!$B$13),IF(_xlpm.p="","",2*_xlpm.p))</f>
        <v/>
      </c>
      <c r="W176" s="399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1.5</v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399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0.23999951232001554</v>
      </c>
    </row>
    <row r="178" spans="1:23" x14ac:dyDescent="0.25">
      <c r="A178" s="274" t="s">
        <v>254</v>
      </c>
      <c r="C178" s="369" t="s">
        <v>11</v>
      </c>
      <c r="P178" s="1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>178</v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830</v>
      </c>
      <c r="W178" s="399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179" spans="1:23" x14ac:dyDescent="0.25">
      <c r="A179" s="274" t="s">
        <v>254</v>
      </c>
      <c r="C179" s="369" t="s">
        <v>11</v>
      </c>
      <c r="P179" s="1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>179</v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68</v>
      </c>
      <c r="W179" s="399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7.2552391120946427E-2</v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e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 t="e">
        <f>IF(SUM($V$63:$V$64)=0,"",SUM($V$63:$V$64)*2)</f>
        <v>#VALUE!</v>
      </c>
      <c r="W180" s="412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369" t="str">
        <f>"▼ [Lattice Option]"</f>
        <v>▼ [Lattice Option]</v>
      </c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F182" s="369" t="s">
        <v>2085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F183" s="369" t="s">
        <v>2086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F184" s="369" t="s">
        <v>2087</v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60</v>
      </c>
      <c r="W197" s="399">
        <f>IFERROR(INDEX(CostData!$Q$3:$Q$12,MATCH(TRIM(Enginuity!$A$20),CostData!$P$3:$P$12,0)),"")</f>
        <v>3.9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 t="str">
        <f>IF(Enginuity!$B$13="","",1)</f>
        <v/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 t="str">
        <f>IF(Enginuity!$B$13="","",4*Enginuity!$B$13)</f>
        <v/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 t="str">
        <f>IF(Enginuity!$B$13="","",2*Enginuity!$B$13)</f>
        <v/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830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e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e">
        <f>IF(SUM($V$63:$V$64)=0,"",SUM($V$63:$V$64)*2)</f>
        <v>#VALUE!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369" t="str">
        <f>"▼ [Lattice Option]"</f>
        <v>▼ [Lattice Option]</v>
      </c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F212" s="369" t="s">
        <v>2085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F213" s="369" t="s">
        <v>2086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F214" s="369" t="s">
        <v>2087</v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60</v>
      </c>
      <c r="W227" s="399">
        <f>IFERROR(INDEX(CostData!$Q$3:$Q$12,MATCH(TRIM(Enginuity!$A$20),CostData!$P$3:$P$12,0)),"")</f>
        <v>3.9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 t="str">
        <f>IF(Enginuity!$B$13="","",1)</f>
        <v/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 t="str">
        <f>IF(Enginuity!$B$13="","",4*Enginuity!$B$13)</f>
        <v/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 t="str">
        <f>IF(Enginuity!$B$13="","",2*Enginuity!$B$13)</f>
        <v/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830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e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 t="e">
        <f>IF(SUM($V$63:$V$64)=0,"",SUM($V$63:$V$64)*2)</f>
        <v>#VALUE!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369" t="str">
        <f>"▼ [Lattice Option]"</f>
        <v>▼ [Lattice Option]</v>
      </c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F242" s="369" t="s">
        <v>2085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F243" s="369" t="s">
        <v>2086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F244" s="369" t="s">
        <v>2087</v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60</v>
      </c>
      <c r="W257" s="399">
        <f>IFERROR(INDEX(CostData!$Q$3:$Q$12,MATCH(TRIM(Enginuity!$A$20),CostData!$P$3:$P$12,0)),"")</f>
        <v>3.9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 t="str">
        <f>IF(Enginuity!$B$13="","",1)</f>
        <v/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 t="str">
        <f>IF(Enginuity!$B$13="","",4*Enginuity!$B$13)</f>
        <v/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 t="str">
        <f>IF(Enginuity!$B$13="","",2*Enginuity!$B$13)</f>
        <v/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830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e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e">
        <f>IF(SUM($V$63:$V$64)=0,"",SUM($V$63:$V$64)*2)</f>
        <v>#VALUE!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369" t="str">
        <f>"▼ [Lattice Option]"</f>
        <v>▼ [Lattice Option]</v>
      </c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 t="str">
        <f>IF(OR(Enginuity!$B$13="",Enginuity!$B$7=""),"",Enginuity!$B$13*2*Enginuity!$B$7)</f>
        <v/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F272" s="369" t="s">
        <v>2085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 t="str">
        <f>IF(OR(Enginuity!$B$13="",Enginuity!$B$6=""),"",Enginuity!$B$13*2*Enginuity!$B$6)</f>
        <v/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F273" s="369" t="s">
        <v>2086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F274" s="369" t="s">
        <v>2087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165.24013829938127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165.24013829938127</v>
      </c>
    </row>
    <row r="284" spans="1:23" x14ac:dyDescent="0.25">
      <c r="A284" s="274" t="s">
        <v>254</v>
      </c>
      <c r="C284" s="369" t="s">
        <v>2067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60</v>
      </c>
      <c r="W287" s="399">
        <f>IFERROR(INDEX(CostData!$Q$3:$Q$12,MATCH(TRIM(Enginuity!$A$20),CostData!$P$3:$P$12,0)),"")</f>
        <v>3.9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 t="str">
        <f>IF(OR(Enginuity!$B$7="",Enginuity!$B$13=""),"",
Enginuity!$B$13*
IF(Enginuity!$B$7&lt;=7,3,
IF(Enginuity!$B$7&lt;=9,4,
IF(Enginuity!$B$7&lt;=11,5,6))))</f>
        <v/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 t="str">
        <f>Enginuity!$B$13</f>
        <v/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e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e">
        <f>IF(Enginuity!B13-1=0,"",(Enginuity!B13-1)*2)</f>
        <v>#VALUE!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e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e">
        <f>IF(Enginuity!B13-1=0,"",(Enginuity!B13-1)*2)</f>
        <v>#VALUE!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 t="str">
        <f>IFERROR(V271+V272,"")</f>
        <v/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 t="str">
        <f>IFERROR(V271+V272,"")</f>
        <v/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 t="str">
        <f t="shared" ref="F301:L301" si="16">IFERROR(IF(B1=0,"",B1),"")</f>
        <v>Setting</v>
      </c>
      <c r="G301" s="414" t="str">
        <f t="shared" si="16"/>
        <v>Value</v>
      </c>
      <c r="H301" s="414" t="str">
        <f t="shared" si="16"/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22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6.5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3.9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537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22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369" t="str">
        <f>"▼ [Lattice Option]"</f>
        <v>▼ [Lattice Option]</v>
      </c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F332" s="369" t="s">
        <v>2085</v>
      </c>
      <c r="G332" s="369" t="s">
        <v>1936</v>
      </c>
      <c r="P332" s="1" t="e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F333" s="369" t="s">
        <v>2086</v>
      </c>
      <c r="P333" s="1" t="e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e">
        <f>IF(AND(Enginuity!$B$7&gt;0,Enginuity!$B$13&gt;1),(Enginuity!$B$13-1)*Enginuity!$B$7,"")</f>
        <v>#VALUE!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F334" s="369" t="s">
        <v>2087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60</v>
      </c>
      <c r="W347" s="399">
        <f>IFERROR(INDEX(CostData!$Q$3:$Q$12,MATCH(TRIM(Enginuity!$A$20),CostData!$P$3:$P$12,0)),"")</f>
        <v>3.9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 t="str">
        <f>IF(TRIM(Enginuity!$A$22)="Fix Window","",IF(Enginuity!$B$13&gt;0,Enginuity!$B$13,""))</f>
        <v/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 t="str">
        <f>IF(TRIM(Enginuity!$A$22)="Fix Window","",IF(Enginuity!$B$13="","",Enginuity!$B$13))</f>
        <v/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e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 t="e">
        <f>IF(SUM($V$391:$V$394)=0,"",SUM($V$391:$V$394))</f>
        <v>#VALUE!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60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e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e">
        <f>IF($V$392="","",$V$392)</f>
        <v>#VALUE!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e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e">
        <f>IF($V$392="","",$V$392)</f>
        <v>#VALUE!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e">
        <f>IF(SUM($V$393:$V$394)=0,"",SUM($V$393:$V$394)*2)</f>
        <v>#VALUE!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 t="str">
        <f t="shared" ref="F361" si="18">IFERROR(IF(B61=0,"",B61),"")</f>
        <v>Install Only</v>
      </c>
      <c r="G361" s="414" t="str">
        <f t="shared" ref="G361" si="19">IFERROR(IF(C61=0,"",C61),"")</f>
        <v>Casement Window Standard</v>
      </c>
      <c r="H361" s="414" t="str">
        <f t="shared" ref="H361" si="20">IFERROR(IF(D61=0,"",D61),"")</f>
        <v>N/A</v>
      </c>
      <c r="I361" s="414" t="str">
        <f t="shared" ref="I361" si="21">IFERROR(IF(E61=0,"",E61),"")</f>
        <v>Default</v>
      </c>
      <c r="J361" s="414" t="str">
        <f t="shared" ref="J361" si="22">IFERROR(IF(F61=0,"",F61),"")</f>
        <v>▼ [Lattice Option]</v>
      </c>
      <c r="K361" s="414" t="str">
        <f t="shared" ref="K361" si="23">IFERROR(IF(G61=0,"",G61),"")</f>
        <v>▼ [Fix - Casement]</v>
      </c>
      <c r="L361" s="414" t="str">
        <f t="shared" ref="L361" si="24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3.9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369" t="str">
        <f>"▼ [Variant]"</f>
        <v>▼ [Variant]</v>
      </c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e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e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 t="e">
        <f>IF(AND(Enginuity!$B$7&gt;0,Enginuity!$B$13&gt;1),(Enginuity!$B$13-1)*Enginuity!$B$7,"")</f>
        <v>#VALUE!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Default</v>
      </c>
      <c r="T407" s="1" t="str">
        <f>IF(Enginuity!$A$20="","",Enginuity!$A$20)</f>
        <v>Default</v>
      </c>
      <c r="U407" s="1" t="s">
        <v>121</v>
      </c>
      <c r="V407" s="1">
        <f>IF(Enginuity!$B$9="","",Enginuity!$B$9)</f>
        <v>60</v>
      </c>
      <c r="W407" s="399">
        <f>IFERROR(INDEX(CostData!$Q$3:$Q$12,MATCH(TRIM(Enginuity!$A$20),CostData!$P$3:$P$12,0)),"")</f>
        <v>3.9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 t="str">
        <f>IF(TRIM(Enginuity!$A$22)="Fix Window","",IF(Enginuity!$B$13&gt;0,Enginuity!$B$13,""))</f>
        <v/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 t="str">
        <f>IF(TRIM(Enginuity!$A$22)="Fix Window","",IF(Enginuity!$B$13="","",Enginuity!$B$13))</f>
        <v/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e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 t="e">
        <f>IF(SUM($V$391:$V$394)=0,"",SUM($V$391:$V$394))</f>
        <v>#VALUE!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60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e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e">
        <f>IF($V$392="","",$V$392)</f>
        <v>#VALUE!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e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e">
        <f>IF($V$392="","",$V$392)</f>
        <v>#VALUE!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 t="e">
        <f>IF(SUM($V$393:$V$394)=0,"",SUM($V$393:$V$394)*2)</f>
        <v>#VALUE!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369" t="str">
        <f>"▼ [Variant]"</f>
        <v>▼ [Variant]</v>
      </c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e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e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 t="e">
        <f>IF(AND(Enginuity!$B$7&gt;0,Enginuity!$B$13&gt;1),(Enginuity!$B$13-1)*Enginuity!$B$7,"")</f>
        <v>#VALUE!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Default</v>
      </c>
      <c r="T437" s="1" t="str">
        <f>IF(Enginuity!$A$20="","",Enginuity!$A$20)</f>
        <v>Default</v>
      </c>
      <c r="U437" s="1" t="s">
        <v>121</v>
      </c>
      <c r="V437" s="1">
        <f>IF(Enginuity!$B$9="","",Enginuity!$B$9)</f>
        <v>60</v>
      </c>
      <c r="W437" s="399">
        <f>IFERROR(INDEX(CostData!$Q$3:$Q$12,MATCH(TRIM(Enginuity!$A$20),CostData!$P$3:$P$12,0)),"")</f>
        <v>3.9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 t="str">
        <f>IF(TRIM(Enginuity!$A$22)="Fix Window","",IF(Enginuity!$B$13&gt;0,Enginuity!$B$13,""))</f>
        <v/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 t="str">
        <f>IF(TRIM(Enginuity!$A$22)="Fix Window","",IF(Enginuity!$B$13="","",Enginuity!$B$13))</f>
        <v/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e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 t="e">
        <f>IF(SUM($V$391:$V$394)=0,"",SUM($V$391:$V$394))</f>
        <v>#VALUE!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60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e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 t="e">
        <f>IF($V$392="","",$V$392)</f>
        <v>#VALUE!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e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 t="e">
        <f>IF($V$392="","",$V$392)</f>
        <v>#VALUE!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 t="e">
        <f>IF(SUM($V$393:$V$394)=0,"",SUM($V$393:$V$394)*2)</f>
        <v>#VALUE!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369" t="str">
        <f>"▼ [Variant]"</f>
        <v>▼ [Variant]</v>
      </c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F452" s="369" t="s">
        <v>2085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F453" s="369" t="s">
        <v>2086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F454" s="369" t="s">
        <v>2087</v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 t="str">
        <f>IF(OR(Enginuity!$B$7="",Enginuity!$B$6="",Enginuity!$B$13=""),"",((Enginuity!$B$13*2)*Enginuity!$B$7)+(Enginuity!$B$6*2))</f>
        <v/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 t="str">
        <f>IF(OR(Enginuity!$B$7="",Enginuity!$B$6="",Enginuity!$B$13=""),"",((Enginuity!$B$13*2)*Enginuity!$B$7)+(Enginuity!$B$6*2))</f>
        <v/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Default</v>
      </c>
      <c r="S465" s="1"/>
      <c r="T465" s="1" t="str">
        <f>IF(Enginuity!$A$20="","",Enginuity!$A$20)</f>
        <v>Default</v>
      </c>
      <c r="U465" s="1" t="s">
        <v>121</v>
      </c>
      <c r="V465" s="1">
        <f>IF(Enginuity!$B$9="","",Enginuity!$B$9)</f>
        <v>60</v>
      </c>
      <c r="W465" s="399">
        <f>IFERROR(INDEX(CostData!$Q$3:$Q$12,MATCH(TRIM(Enginuity!$A$20),CostData!$P$3:$P$12,0)),"")</f>
        <v>3.9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7">T466</f>
        <v>ML1616 Black Set</v>
      </c>
      <c r="S466" s="1" t="s">
        <v>2134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7"/>
        <v>MSW-8112 TC78 Matt Black Latch Bolt</v>
      </c>
      <c r="S467" s="1" t="s">
        <v>2132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7"/>
        <v>84TR Top Roller 4 Nylon Wheels Black</v>
      </c>
      <c r="S468" s="1" t="s">
        <v>2130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7"/>
        <v>88BG(R) Bottom Guide Exposed Black</v>
      </c>
      <c r="S469" s="1" t="s">
        <v>2149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7"/>
        <v>T28 Black Collapsible Door Handle</v>
      </c>
      <c r="S470" s="1" t="s">
        <v>2126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7"/>
        <v>T29 Folding Door Acc Lockcase Black</v>
      </c>
      <c r="S471" s="1" t="s">
        <v>2128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7"/>
        <v>82MH Folding Door Mid Hinge Black</v>
      </c>
      <c r="S472" s="1" t="s">
        <v>2121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7"/>
        <v>83DH D-Hinge W/Handle Black</v>
      </c>
      <c r="S473" s="1" t="s">
        <v>2124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 t="str">
        <f>IF(TRIM(Enginuity!$A$22)="Fix Window","",IF(Enginuity!$B$13&gt;0,Enginuity!$B$13,""))</f>
        <v/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8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 t="str">
        <f>IF(TRIM(Enginuity!$A$22)="Fix Window","",IF(Enginuity!$B$13="","",Enginuity!$B$13))</f>
        <v/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e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6" s="1" t="str">
        <f>IF($S476="","",IFERROR(_xlfn.XLOOKUP($S476,CostData!$U$22:$U$1000,CostData!$T$22:$T$1000,""),""))</f>
        <v>Black Tape</v>
      </c>
      <c r="R476" s="16" t="str">
        <f t="shared" si="28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 t="e">
        <f>IF(SUM($V$391:$V$394)=0,"",SUM($V$391:$V$394))</f>
        <v>#VALUE!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8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830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e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8" s="1" t="str">
        <f>IF($S478="","",IFERROR(_xlfn.XLOOKUP($S478,CostData!$U$22:$U$1000,CostData!$T$22:$T$1000,""),""))</f>
        <v>Weather Strip</v>
      </c>
      <c r="R478" s="16" t="str">
        <f t="shared" si="28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 t="e">
        <f>IF($V$392="","",$V$392)</f>
        <v>#VALUE!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e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 t="e">
        <f>IF($V$392="","",$V$392)</f>
        <v>#VALUE!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 t="e">
        <f>IF(SUM($V$393:$V$394)=0,"",SUM($V$393:$V$394)*2)</f>
        <v>#VALUE!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369" t="str">
        <f>"▼ [Variant]"</f>
        <v>▼ [Variant]</v>
      </c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e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t="e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e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60</v>
      </c>
      <c r="W497" s="399">
        <f>IFERROR(INDEX(CostData!$Q$3:$Q$12,MATCH(TRIM(Enginuity!$A$20),CostData!$P$3:$P$12,0)),"")</f>
        <v>3.9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 t="str">
        <f>IF(Enginuity!$B$13&gt;0,Enginuity!$B$13,"")</f>
        <v/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t="str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e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 t="e">
        <f>IF(SUM($V$61:$V$64)=0,"",SUM($V$61:$V$64))</f>
        <v>#VALUE!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60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e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 t="e">
        <f>IF($V$62="","",$V$62)</f>
        <v>#VALUE!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e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 t="e">
        <f>IF($V$62="","",$V$62)</f>
        <v>#VALUE!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 t="e">
        <f>IF(SUM($V$63:$V$64)=0,"",SUM($V$63:$V$64)*2)</f>
        <v>#VALUE!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369" t="str">
        <f>"▼ [Variant]"</f>
        <v>▼ [Variant]</v>
      </c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e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t="e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e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60</v>
      </c>
      <c r="W527" s="399">
        <f>IFERROR(INDEX(CostData!$Q$3:$Q$12,MATCH(TRIM(Enginuity!$A$20),CostData!$P$3:$P$12,0)),"")</f>
        <v>3.9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 t="str">
        <f>IF(Enginuity!$B$13&gt;0,Enginuity!$B$13,"")</f>
        <v/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t="str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e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 t="e">
        <f>IF(SUM($V$61:$V$64)=0,"",SUM($V$61:$V$64))</f>
        <v>#VALUE!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60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e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 t="e">
        <f>IF($V$62="","",$V$62)</f>
        <v>#VALUE!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e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 t="e">
        <f>IF($V$62="","",$V$62)</f>
        <v>#VALUE!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 t="e">
        <f>IF(SUM($V$63:$V$64)=0,"",SUM($V$63:$V$64)*2)</f>
        <v>#VALUE!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11.628000000000002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12.192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11.628000000000002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12.192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F3" sqref="F3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cm="1">
        <f t="array" ref="F1">IFERROR(_xlfn.LET(_xlpm.top,_xlfn.XMATCH(TRIM(Enginuity!$A$1)&amp;"|"&amp;TRIM(Enginuity!$A$18)&amp;"|"&amp;TRIM(Enginuity!$A$19),TRIM(CalcEngine!$A$60:$A$5000)&amp;"|"&amp;TRIM(CalcEngine!$C$60:$C$5000)&amp;"|"&amp;TRIM(CalcEngine!$D$60:$D$5000),0),INDEX(CalcEngine!$F$60:$F$5000,_xlpm.top+10)),"")</f>
        <v>0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">IFERROR(_xlfn.LET(_xlpm.top,_xlfn.XMATCH(TRIM(Enginuity!$A$1)&amp;"|"&amp;TRIM(Enginuity!$A$18)&amp;"|"&amp;TRIM(Enginuity!$A$19),TRIM(CalcEngine!$A$60:$A$5000)&amp;"|"&amp;TRIM(CalcEngine!$C$60:$C$5000)&amp;"|"&amp;TRIM(CalcEngine!$D$60:$D$5000),0),_xlpm.seg,INDEX(CalcEngine!$F$60:$F$5000,_xlpm.top+11):INDEX(CalcEngine!$F$60:$F$5000,_xlpm.top+19),_xlfn._xlws.FILTER(_xlpm.seg,TRIM(_xlpm.seg)&lt;&gt;"")),"")</f>
        <v/>
      </c>
      <c r="G2" t="str" cm="1">
        <f t="array" ref="G2:G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H2" t="str" cm="1">
        <f t="array" ref="H2:H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G3" t="str">
        <v>Top + Bottom</v>
      </c>
      <c r="H3" t="str">
        <v>Top + Bottom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G4" t="str">
        <v>L / R</v>
      </c>
      <c r="H4" t="str">
        <v>L / R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G5" t="str">
        <v>L + R</v>
      </c>
      <c r="H5" t="str">
        <v>L + R</v>
      </c>
    </row>
    <row r="6" spans="1:12" x14ac:dyDescent="0.25">
      <c r="C6" t="str">
        <v>Sliding Door Standard</v>
      </c>
      <c r="G6" t="str">
        <v>Top / Bottom + L / R</v>
      </c>
      <c r="H6" t="str">
        <v>Top / Bottom + L / R</v>
      </c>
    </row>
    <row r="7" spans="1:12" x14ac:dyDescent="0.25">
      <c r="C7" t="str">
        <v>Sliding Window Economy</v>
      </c>
      <c r="G7" t="str">
        <v>Top / Bottom + L + R</v>
      </c>
      <c r="H7" t="str">
        <v>Top / Bottom + L + R</v>
      </c>
    </row>
    <row r="8" spans="1:12" x14ac:dyDescent="0.25">
      <c r="C8" t="str">
        <v>Sliding Window Performance</v>
      </c>
      <c r="G8" t="str">
        <v>Top + Bottom + L / R</v>
      </c>
      <c r="H8" t="str">
        <v>Top + Bottom + L / R</v>
      </c>
    </row>
    <row r="9" spans="1:12" x14ac:dyDescent="0.25">
      <c r="C9" t="str">
        <v>Swing Door 4" Profile</v>
      </c>
      <c r="G9" t="str">
        <v>Top + Bottom + L + R</v>
      </c>
      <c r="H9" t="str">
        <v>Top + Bottom + L + R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369"/>
    </row>
    <row r="41" spans="2:2" x14ac:dyDescent="0.25">
      <c r="B41" s="369" t="str" cm="1">
        <f t="array" ref="B41">IF(SUMPRODUCT(--(LEN(B42:B80)&gt;0))&gt;0,"▼ [Product Subtype]","")</f>
        <v>▼ [Product Subtype]</v>
      </c>
    </row>
    <row r="42" spans="2:2" x14ac:dyDescent="0.25">
      <c r="B42" t="str" cm="1">
        <f t="array" ref="B42">IFERROR(_xlfn.LET(_xlpm.top,_xlfn.XMATCH(TRIM(Enginuity!$A$1)&amp;"|"&amp;TRIM(Enginuity!$A$18)&amp;"|"&amp;TRIM(Enginuity!$A$19),TRIM(CalcEngine!$A$60:$A$5000)&amp;"|"&amp;TRIM(CalcEngine!$C$60:$C$5000)&amp;"|"&amp;TRIM(CalcEngine!$D$60:$D$5000),0),_xlpm.seg,INDEX(CalcEngine!$F$60:$F$5000,_xlpm.top+1):INDEX(CalcEngine!$F$60:$F$5000,_xlpm.top+9),_xlfn._xlws.FILTER(_xlpm.seg,TRIM(_xlpm.seg)&lt;&gt;"")),"")</f>
        <v>24-Box Lattice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22</v>
      </c>
      <c r="E2" s="243">
        <v>11.46</v>
      </c>
      <c r="F2" s="104">
        <f>IF(D2*E2=0, "", D2*E2)</f>
        <v>252.12</v>
      </c>
      <c r="G2" s="18" t="s">
        <v>9</v>
      </c>
      <c r="H2" s="10">
        <f>2*Enginuity!$B$6 + 2*Enginuity!$B$7</f>
        <v>34</v>
      </c>
      <c r="I2" s="17">
        <v>1.1000000000000001</v>
      </c>
      <c r="J2" s="82">
        <f>IF(H2*I2=0, "", H2*I2)</f>
        <v>37.400000000000006</v>
      </c>
      <c r="K2" s="342"/>
      <c r="L2" s="346"/>
      <c r="M2" s="88">
        <v>1</v>
      </c>
      <c r="N2" s="92" t="str">
        <f>Enginuity!A19</f>
        <v>M/B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34</v>
      </c>
      <c r="P3" s="14" t="s">
        <v>266</v>
      </c>
      <c r="Q3" s="82" t="e">
        <f>IF(AND(Enginuity!$B$6&gt;0, Enginuity!$B$7&gt;0, Enginuity!$B$13&gt;0), (2 * Enginuity!$B$7 * Enginuity!$B$13) + (2 * Enginuity!$B$6), "")</f>
        <v>#VALUE!</v>
      </c>
      <c r="U3" s="103" t="e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>#VALUE!</v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 t="e">
        <f>IF(AND(Enginuity!$B$6&gt;0, Enginuity!$B$7&gt;0, Enginuity!$B$13&gt;0), (2 * Enginuity!$B$7 * Enginuity!$B$13) + (2 * Enginuity!$B$6), "")</f>
        <v>#VALUE!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 t="e">
        <f>IF(AND(Enginuity!$B$6&gt;0, Enginuity!$B$7&gt;0, Enginuity!$B$13&gt;0), ((2*Enginuity!$B$7*Enginuity!$B$13)+(2*Enginuity!$B$6))*2, "")</f>
        <v>#VALUE!</v>
      </c>
      <c r="P5" s="14" t="s">
        <v>264</v>
      </c>
      <c r="Q5" s="82">
        <f>IF(Enginuity!$B$7&gt;0, Enginuity!$B$7, "")</f>
        <v>5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E6" s="243">
        <v>0.56999999999999995</v>
      </c>
      <c r="F6" s="104">
        <f t="shared" si="0"/>
        <v>34.199999999999996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P6" s="14" t="s">
        <v>265</v>
      </c>
      <c r="Q6" s="82" t="e">
        <f>IF(AND(Enginuity!$B$7&gt;0, Enginuity!$B$13&gt;1), (Enginuity!$B$13 - 1) * Enginuity!$B$7, "")</f>
        <v>#VALUE!</v>
      </c>
      <c r="U6" s="103" t="e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>#VALUE!</v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 t="e">
        <f xml:space="preserve"> ((2*1*Enginuity!$B$13 + 2*Enginuity!$B$6) * $B$7)
+ (((Enginuity!$B$13-1)*1) * $B$8)
+ ($B$2 * Enginuity!$B$13)
+ ($B$3 * Enginuity!$B$13)</f>
        <v>#VALUE!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 t="str">
        <f>Enginuity!$B$13</f>
        <v/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 t="e">
        <f xml:space="preserve"> ((2*1*Enginuity!$B$13 + 2*Enginuity!$B$6) * $B$9)
+ (((Enginuity!$B$13-1)*1) * $B$8)</f>
        <v>#VALUE!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 t="e">
        <f>(3*Enginuity!$B$6)+(Enginuity!$B$7*Enginuity!$B$13)</f>
        <v>#VALUE!</v>
      </c>
      <c r="E9" s="244">
        <v>1.86</v>
      </c>
      <c r="F9" s="104" t="e">
        <f t="shared" si="0"/>
        <v>#VALUE!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 t="e">
        <f>Enginuity!$B$13*IF(TRIM(Enginuity!$A$21)="1'H X ?'W X Qty Panel Top Hung (Casement Profile)",2,1)</f>
        <v>#VALUE!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 t="e">
        <f>(4*Enginuity!$B$6)+(2*Enginuity!$B$7*Enginuity!$B$13)</f>
        <v>#VALUE!</v>
      </c>
      <c r="E10" s="244">
        <v>1.86</v>
      </c>
      <c r="F10" s="104" t="e">
        <f t="shared" si="0"/>
        <v>#VALUE!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 t="e">
        <f>Enginuity!$B$13*4</f>
        <v>#VALUE!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 t="e">
        <f>($B$2 * Enginuity!$B$13)
+ ($B$3 * Enginuity!$B$13)
+ ((2*1 + 2*Enginuity!$B$6) * $B$6)
+ ((2*1*Enginuity!$B$13 + 2*Enginuity!$B$6) * $B$7)
+ (((Enginuity!$B$13-1)*1) * $B$8)
+ (Enginuity!$B$6 * $B$4)</f>
        <v>#VALUE!</v>
      </c>
      <c r="F11" s="104" t="e">
        <f>IF(D11*E11=0, "", D11*E11)</f>
        <v>#VALUE!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 t="e">
        <f>Enginuity!$B$13*2</f>
        <v>#VALUE!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 t="e">
        <f>((2*1 + 2*Enginuity!$B$6) * $B$6)
+ ((2*1*Enginuity!$B$13 + 2*Enginuity!$B$6) * $B$9)
+ (((Enginuity!$B$13-1)*1) * $B$8)
+ (Enginuity!$B$6 * $B$4)</f>
        <v>#VALUE!</v>
      </c>
      <c r="F12" s="104" t="e">
        <f>IF(D12*E12=0, "", D12*E12)</f>
        <v>#VALUE!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 t="e">
        <f>Enginuity!$B$13 *
 IF(Enginuity!$B$7&lt;7,3,
 IF(AND(Enginuity!$B$7&gt;=8,Enginuity!$B$7&lt;=9),4,
 IF(AND(Enginuity!$B$7&gt;=10,Enginuity!$B$7&lt;=11),5,
 IF(AND(Enginuity!$B$7&gt;=12,Enginuity!$B$7&lt;=13),6,
 0))))</f>
        <v>#VALUE!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 t="str">
        <f>IF(AND(ISNUMBER(Enginuity!B13), Enginuity!B13&gt;0), Enginuity!B13*4, "")</f>
        <v/>
      </c>
      <c r="P14" s="14" t="s">
        <v>286</v>
      </c>
      <c r="Q14" s="82">
        <f>IF(Enginuity!$B$7&gt;0, 2 * Enginuity!$B$7, "")</f>
        <v>10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 t="e">
        <f>IF(AND(Enginuity!$B$7&gt;0, Enginuity!$B$13&gt;0), Enginuity!$B$7 * Enginuity!$B$13, "")</f>
        <v>#VALUE!</v>
      </c>
      <c r="U19" s="103" t="e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>#VALUE!</v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 t="e">
        <f>IF(AND(Enginuity!$B$7&gt;0, Enginuity!$B$13&gt;0), Enginuity!$B$7 * Enginuity!$B$13, "")</f>
        <v>#VALUE!</v>
      </c>
      <c r="U20" s="103" t="e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>#VALUE!</v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5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 t="e">
        <f>$Q$3</f>
        <v>#VALUE!</v>
      </c>
      <c r="U52" s="103" t="e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>#VALUE!</v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 t="e">
        <f>IF(AND(Enginuity!$B$7&gt;0, Enginuity!$B$13&gt;1), (Enginuity!$B$13 - 1) * Enginuity!$B$7, "")</f>
        <v>#VALUE!</v>
      </c>
      <c r="U54" s="103" t="e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>#VALUE!</v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/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 t="e">
        <f>$Q$3</f>
        <v>#VALUE!</v>
      </c>
      <c r="U62" s="103" t="e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>#VALUE!</v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 t="e">
        <f>IF(AND(Enginuity!$B$7&gt;0, Enginuity!$B$13&gt;1), (Enginuity!$B$13 - 1) * Enginuity!$B$7, "")</f>
        <v>#VALUE!</v>
      </c>
      <c r="U64" s="103" t="e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>#VALUE!</v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/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M/B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 t="e">
        <f>IF(AND(Enginuity!$B$6&gt;0, Enginuity!$B$7&gt;0, Enginuity!$B$13&gt;0), (2 * Enginuity!$B$7 * Enginuity!$B$13) + (2 * Enginuity!$B$6), "")</f>
        <v>#VALUE!</v>
      </c>
      <c r="U80" s="103" t="e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>#VALUE!</v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 t="e">
        <f>IF(AND(Enginuity!$B$6&gt;0, Enginuity!$B$7&gt;0, Enginuity!$B$13&gt;0), ((2*Enginuity!$B$7*Enginuity!$B$13)+(2*Enginuity!$B$6))*2, "")</f>
        <v>#VALUE!</v>
      </c>
      <c r="U81" s="103" t="e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>#VALUE!</v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2" s="103" t="e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>#VALUE!</v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 t="e">
        <f>Enginuity!$B$13*IF(TRIM(Enginuity!$A$21)="1'H X ?'W X Qty Panel Top Hung (Casement Profile)",2,1)</f>
        <v>#VALUE!</v>
      </c>
      <c r="U83" s="103" t="e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>#VALUE!</v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 t="e">
        <f>Enginuity!$B$13*IF(TRIM(Enginuity!$A$21)="1'H X ?'W X Qty Panel Top Hung (Casement Profile)",2,1)</f>
        <v>#VALUE!</v>
      </c>
      <c r="U84" s="103" t="e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>#VALUE!</v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 t="e">
        <f>IF(AND(Enginuity!$B$7&gt;0, Enginuity!$B$13&gt;0), Enginuity!$B$7 * Enginuity!$B$13, "")</f>
        <v>#VALUE!</v>
      </c>
      <c r="U108" s="103" t="e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>#VALUE!</v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 t="e">
        <f>IF(AND(Enginuity!$B$7&gt;0, Enginuity!$B$13&gt;0), Enginuity!$B$7 * Enginuity!$B$13, "")</f>
        <v>#VALUE!</v>
      </c>
      <c r="U109" s="103" t="e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>#VALUE!</v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5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/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 t="e">
        <f>IF(AND(Enginuity!$B$7&gt;0, Enginuity!$B$13&gt;0), Enginuity!$B$7 * Enginuity!$B$13, "")</f>
        <v>#VALUE!</v>
      </c>
      <c r="U126" s="103" t="e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>#VALUE!</v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 t="e">
        <f>IF(AND(Enginuity!$B$7&gt;0, Enginuity!$B$13&gt;0), Enginuity!$B$7 * Enginuity!$B$13, "")</f>
        <v>#VALUE!</v>
      </c>
      <c r="U127" s="103" t="e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>#VALUE!</v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5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/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M/B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 t="e">
        <f>IF(AND(Enginuity!$B$6&gt;0, Enginuity!$B$7&gt;0, Enginuity!$B$13&gt;0), (2 * Enginuity!$B$7 * Enginuity!$B$13) + (2 * Enginuity!$B$6), "")</f>
        <v>#VALUE!</v>
      </c>
      <c r="U141" s="103" t="e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>#VALUE!</v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 t="e">
        <f>IF(AND(Enginuity!$B$6&gt;0, Enginuity!$B$7&gt;0, Enginuity!$B$13&gt;0), ((2*Enginuity!$B$7*Enginuity!$B$13)+(2*Enginuity!$B$6))*2, "")</f>
        <v>#VALUE!</v>
      </c>
      <c r="U142" s="103" t="e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>#VALUE!</v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43" s="103" t="e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>#VALUE!</v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 t="str">
        <f>Enginuity!$B$13</f>
        <v/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 t="e">
        <f>Enginuity!$B$13*4</f>
        <v>#VALUE!</v>
      </c>
      <c r="U147" s="103" t="e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>#VALUE!</v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 t="e">
        <f>Enginuity!$B$13*2</f>
        <v>#VALUE!</v>
      </c>
      <c r="U148" s="103" t="e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>#VALUE!</v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 t="e">
        <f>IF(AND(Enginuity!$B$7&gt;0, Enginuity!$B$13&gt;0), Enginuity!$B$7 * Enginuity!$B$13, "")</f>
        <v>#VALUE!</v>
      </c>
      <c r="U157" s="103" t="e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>#VALUE!</v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 t="e">
        <f>IF(AND(Enginuity!$B$7&gt;0, Enginuity!$B$13&gt;0), Enginuity!$B$7 * Enginuity!$B$13, "")</f>
        <v>#VALUE!</v>
      </c>
      <c r="U158" s="103" t="e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>#VALUE!</v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5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/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 t="e">
        <f>IF(AND(Enginuity!$B$7&gt;0, Enginuity!$B$13&gt;0), Enginuity!$B$7 * Enginuity!$B$13, "")</f>
        <v>#VALUE!</v>
      </c>
      <c r="U175" s="103" t="e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>#VALUE!</v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 t="e">
        <f>IF(AND(Enginuity!$B$7&gt;0, Enginuity!$B$13&gt;0), Enginuity!$B$7 * Enginuity!$B$13, "")</f>
        <v>#VALUE!</v>
      </c>
      <c r="U176" s="103" t="e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>#VALUE!</v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5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/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M/B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 t="e">
        <f>IF(AND(Enginuity!$B$6&gt;0, Enginuity!$B$7&gt;0, Enginuity!$B$13&gt;0), (2 * Enginuity!$B$7 * Enginuity!$B$13) + (2 * Enginuity!$B$6), "")</f>
        <v>#VALUE!</v>
      </c>
      <c r="U190" s="103" t="e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>#VALUE!</v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 t="e">
        <f>IF(AND(Enginuity!$B$6&gt;0, Enginuity!$B$7&gt;0, Enginuity!$B$13&gt;0), ((2*Enginuity!$B$7*Enginuity!$B$13)+(2*Enginuity!$B$6))*2, "")</f>
        <v>#VALUE!</v>
      </c>
      <c r="U191" s="103" t="e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>#VALUE!</v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92" s="103" t="e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>#VALUE!</v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 t="str">
        <f>Enginuity!$B$13</f>
        <v/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 t="e">
        <f>Enginuity!$B$13*4</f>
        <v>#VALUE!</v>
      </c>
      <c r="U196" s="103" t="e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>#VALUE!</v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 t="e">
        <f>Enginuity!$B$13*2</f>
        <v>#VALUE!</v>
      </c>
      <c r="U197" s="103" t="e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>#VALUE!</v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 t="e">
        <f>$Q$3</f>
        <v>#VALUE!</v>
      </c>
      <c r="U203" s="103" t="e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>#VALUE!</v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 t="e">
        <f>$Q$3</f>
        <v>#VALUE!</v>
      </c>
      <c r="U218" s="103" t="e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>#VALUE!</v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M/B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 t="e">
        <f>IF(AND(Enginuity!$B$6&gt;0, Enginuity!$B$7&gt;0, Enginuity!$B$13&gt;0), ((2*Enginuity!$B$7*Enginuity!$B$13)+(2*Enginuity!$B$6))*2, "")</f>
        <v>#VALUE!</v>
      </c>
      <c r="U237" s="103" t="e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>#VALUE!</v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38" s="103" t="e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>#VALUE!</v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 t="str">
        <f>Enginuity!$B$13</f>
        <v/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 t="e">
        <f>Enginuity!$B$13*2</f>
        <v>#VALUE!</v>
      </c>
      <c r="U242" s="103" t="e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>#VALUE!</v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 t="e">
        <f>Enginuity!$B$13*2</f>
        <v>#VALUE!</v>
      </c>
      <c r="U243" s="103" t="e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>#VALUE!</v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 t="e">
        <f>IF(Enginuity!$B$13-1=0, "", Enginuity!$B$13-1)</f>
        <v>#VALUE!</v>
      </c>
      <c r="U245" s="103" t="e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>#VALUE!</v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 t="e">
        <f>IF(Enginuity!$B$13-1=0, "", Enginuity!$B$13-1)</f>
        <v>#VALUE!</v>
      </c>
      <c r="U246" s="103" t="e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>#VALUE!</v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 t="e">
        <f>$Q$3</f>
        <v>#VALUE!</v>
      </c>
      <c r="U247" s="103" t="e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>#VALUE!</v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/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252.12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 t="e">
        <f>$Q$3</f>
        <v>#VALUE!</v>
      </c>
      <c r="U257" s="103" t="e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>#VALUE!</v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/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M/B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 t="e">
        <f>IF(AND(Enginuity!$B$6&gt;0, Enginuity!$B$7&gt;0, Enginuity!$B$13&gt;0), ((2*Enginuity!$B$7*Enginuity!$B$13)+(2*Enginuity!$B$6))*2, "")</f>
        <v>#VALUE!</v>
      </c>
      <c r="U286" s="103" t="e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>#VALUE!</v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87" s="103" t="e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>#VALUE!</v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 t="str">
        <f>IF(OR(Enginuity!$B$7="",Enginuity!$B$13=""),"",
Enginuity!$B$13*
IF(Enginuity!$B$7&lt;=7,3,
IF(Enginuity!$B$7&lt;=9,4,
IF(Enginuity!$B$7&lt;=11,5,6))))</f>
        <v/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 t="str">
        <f>Enginuity!$B$13</f>
        <v/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 t="e">
        <f>IF(Enginuity!$B$13-1=0, "", Enginuity!$B$13-1)</f>
        <v>#VALUE!</v>
      </c>
      <c r="U294" s="103" t="e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>#VALUE!</v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 t="e">
        <f>IF(Enginuity!$B$13-1=0, "", Enginuity!$B$13-1)</f>
        <v>#VALUE!</v>
      </c>
      <c r="U295" s="103" t="e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>#VALUE!</v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44" s="103" t="e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>#VALUE!</v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 t="e">
        <f>(Enginuity!$B$13 - 1) * Enginuity!$B$7</f>
        <v>#VALUE!</v>
      </c>
      <c r="U347" s="103" t="e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>#VALUE!</v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/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 t="e">
        <f>(Enginuity!$B$13 - 1) * Enginuity!$B$7</f>
        <v>#VALUE!</v>
      </c>
      <c r="U357" s="103" t="e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>#VALUE!</v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/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M/B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 t="e">
        <f>IF(AND(Enginuity!$B$6&gt;0, Enginuity!$B$7&gt;0, Enginuity!$B$13&gt;0), ((2*Enginuity!$B$7*Enginuity!$B$13)+(2*Enginuity!$B$6))*2, "")</f>
        <v>#VALUE!</v>
      </c>
      <c r="U390" s="103" t="e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>#VALUE!</v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91" s="103" t="e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>#VALUE!</v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 t="e">
        <f>(Enginuity!$B$13 - 1) * Enginuity!$B$7</f>
        <v>#VALUE!</v>
      </c>
      <c r="U396" s="103" t="e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>#VALUE!</v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/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 t="e">
        <f>(Enginuity!$B$13 - 1) * Enginuity!$B$7</f>
        <v>#VALUE!</v>
      </c>
      <c r="U406" s="103" t="e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>#VALUE!</v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/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M/B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 t="e">
        <f>IF(AND(Enginuity!$B$6&gt;0, Enginuity!$B$7&gt;0, Enginuity!$B$13&gt;0), ((2*Enginuity!$B$7*Enginuity!$B$13)+(2*Enginuity!$B$6))*2, "")</f>
        <v>#VALUE!</v>
      </c>
      <c r="U439" s="103" t="e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>#VALUE!</v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440" s="103" t="e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>#VALUE!</v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 t="e">
        <f>Enginuity!$B$7*(Enginuity!$B$13+1)</f>
        <v>#VALUE!</v>
      </c>
      <c r="U443" s="103" t="e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>#VALUE!</v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5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30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60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60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60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60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M/B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 t="e">
        <f>Enginuity!$B$7*(Enginuity!$B$13+1)</f>
        <v>#VALUE!</v>
      </c>
      <c r="U455" s="103" t="e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>#VALUE!</v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5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30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60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60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60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60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M/B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 t="e">
        <f>Enginuity!$B$7*Enginuity!$B$13</f>
        <v>#VALUE!</v>
      </c>
      <c r="U467" s="103" t="e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>#VALUE!</v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60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60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 t="e">
        <f>Enginuity!$B$7*Enginuity!$B$13</f>
        <v>#VALUE!</v>
      </c>
      <c r="U475" s="103" t="e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>#VALUE!</v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60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60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60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M/B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 t="e">
        <f>Enginuity!$B$13 * Enginuity!$B$7</f>
        <v>#VALUE!</v>
      </c>
      <c r="U481" s="103" t="e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>#VALUE!</v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5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5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 t="e">
        <f>Enginuity!$B$13 * Enginuity!$B$7</f>
        <v>#VALUE!</v>
      </c>
      <c r="U492" s="103" t="e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>#VALUE!</v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 t="e">
        <f>ROUNDUP(Enginuity!B6 * 304.8 / Enginuity!B15, 0) * 2</f>
        <v>#VALUE!</v>
      </c>
      <c r="U494" s="103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#VALUE!</v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9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9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 t="e">
        <f>ROUNDUP(Enginuity!B6 * 304.8 / Enginuity!B15, 0) * 8</f>
        <v>#VALUE!</v>
      </c>
      <c r="U497" s="103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#VALUE!</v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M/B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 t="e">
        <f>ROUNDUP((Enginuity!$B$6*2 + Enginuity!$B$13*2*Enginuity!$B$7)/3, 0)</f>
        <v>#VALUE!</v>
      </c>
      <c r="U503" s="103" t="e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>#VALUE!</v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 t="e">
        <f>ROUNDUP((((Enginuity!$B$13-1)*Enginuity!$B$7)*2/32.8)*1.1, 0)</f>
        <v>#VALUE!</v>
      </c>
      <c r="U505" s="103" t="e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>#VALUE!</v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M/B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 t="e">
        <f>ROUNDUP((Enginuity!$B$6*2 + Enginuity!$B$13*2*Enginuity!$B$7)/3, 0)</f>
        <v>#VALUE!</v>
      </c>
      <c r="U510" s="103" t="e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>#VALUE!</v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 t="e">
        <f>ROUNDUP((((Enginuity!$B$13-1)*Enginuity!$B$7)*2/32.8)*1.1, 0)</f>
        <v>#VALUE!</v>
      </c>
      <c r="U512" s="103" t="e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>#VALUE!</v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M/B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 t="str">
        <f>Enginuity!$B$13</f>
        <v/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 t="str">
        <f>Enginuity!$B$13</f>
        <v/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 t="e">
        <f>$Q$3</f>
        <v>#VALUE!</v>
      </c>
      <c r="U542" s="103" t="e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>#VALUE!</v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 t="e">
        <f>$Q$6</f>
        <v>#VALUE!</v>
      </c>
      <c r="U544" s="103" t="e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>#VALUE!</v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 t="e">
        <f>$Q$3</f>
        <v>#VALUE!</v>
      </c>
      <c r="U545" s="103" t="e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>#VALUE!</v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 t="e">
        <f>Enginuity!$B$7*Enginuity!$B$13</f>
        <v>#VALUE!</v>
      </c>
      <c r="U546" s="103" t="e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>#VALUE!</v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/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M/B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 t="e">
        <f>IF(AND(Enginuity!$B$6&gt;0, Enginuity!$B$7&gt;0, Enginuity!$B$13&gt;0), (2 * Enginuity!$B$7 * Enginuity!$B$13) + (2 * Enginuity!$B$6), "")</f>
        <v>#VALUE!</v>
      </c>
      <c r="U572" s="103" t="e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>#VALUE!</v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 t="e">
        <f>IF(AND(Enginuity!$B$6&gt;0, Enginuity!$B$7&gt;0, Enginuity!$B$13&gt;0), ((2*Enginuity!$B$7*Enginuity!$B$13)+(2*Enginuity!$B$6))*2, "")</f>
        <v>#VALUE!</v>
      </c>
      <c r="U573" s="103" t="e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>#VALUE!</v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574" s="103" t="e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>#VALUE!</v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 t="e">
        <f>Enginuity!$B$13*IF(TRIM(Enginuity!$A$21)="1'H X ?'W X Qty Panel Top Hung (Casement Profile)",2,1)</f>
        <v>#VALUE!</v>
      </c>
      <c r="U575" s="103" t="e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>#VALUE!</v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 t="e">
        <f>Enginuity!$B$13*IF(TRIM(Enginuity!$A$21)="1'H X ?'W X Qty Panel Top Hung (Casement Profile)",2,1)</f>
        <v>#VALUE!</v>
      </c>
      <c r="U576" s="103" t="e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>#VALUE!</v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 t="str">
        <f>IF(AND(ISNUMBER(Enginuity!$B$13), Enginuity!$B$13&gt;0), Enginuity!$B$13*4, "")</f>
        <v/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 t="str">
        <f>IF(AND(ISNUMBER(Enginuity!$B$13), Enginuity!$B$13&gt;0), Enginuity!$B$13*4, "")</f>
        <v/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 t="e">
        <f>Enginuity!$B$13*4</f>
        <v>#VALUE!</v>
      </c>
      <c r="U580" s="103" t="e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>#VALUE!</v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 t="e">
        <f>Enginuity!$B$13*
 IF(Enginuity!$B$7&lt;5,2,
 IF(Enginuity!$B$7&lt;6,3,
 IF(Enginuity!$B$7&lt;=7,4,5)))</f>
        <v>#VALUE!</v>
      </c>
      <c r="U581" s="103" t="e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>#VALUE!</v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 t="e">
        <f>Enginuity!$B$13*
 IF(Enginuity!$B$7&lt;5,2,
 IF(Enginuity!$B$7&lt;6,3,
 IF(Enginuity!$B$7&lt;=7,4,5)))</f>
        <v>#VALUE!</v>
      </c>
      <c r="U582" s="103" t="e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>#VALUE!</v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 t="e">
        <f>Enginuity!$B$13*2</f>
        <v>#VALUE!</v>
      </c>
      <c r="U583" s="103" t="e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>#VALUE!</v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 t="e">
        <f>Enginuity!$B$13*2</f>
        <v>#VALUE!</v>
      </c>
      <c r="U584" s="103" t="e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>#VALUE!</v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 t="e">
        <f>Enginuity!$B$13*1</f>
        <v>#VALUE!</v>
      </c>
      <c r="U585" s="103" t="e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>#VALUE!</v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 t="e">
        <f>$Q$3</f>
        <v>#VALUE!</v>
      </c>
      <c r="U591" s="103" t="e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>#VALUE!</v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 t="e">
        <f>$Q$6</f>
        <v>#VALUE!</v>
      </c>
      <c r="U593" s="103" t="e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>#VALUE!</v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 t="e">
        <f>Enginuity!$B$7*Enginuity!$B$13</f>
        <v>#VALUE!</v>
      </c>
      <c r="U594" s="103" t="e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>#VALUE!</v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/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M/B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 t="e">
        <f>IF(AND(Enginuity!$B$6&gt;0, Enginuity!$B$7&gt;0, Enginuity!$B$13&gt;0), (2 * Enginuity!$B$7 * Enginuity!$B$13) + (2 * Enginuity!$B$6), "")</f>
        <v>#VALUE!</v>
      </c>
      <c r="U621" s="103" t="e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>#VALUE!</v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 t="e">
        <f>IF(AND(Enginuity!$B$6&gt;0, Enginuity!$B$7&gt;0, Enginuity!$B$13&gt;0), ((2*Enginuity!$B$7*Enginuity!$B$13)+(2*Enginuity!$B$6))*2, "")</f>
        <v>#VALUE!</v>
      </c>
      <c r="U622" s="103" t="e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>#VALUE!</v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23" s="103" t="e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>#VALUE!</v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 t="e">
        <f>Enginuity!$B$13*IF(TRIM(Enginuity!$A$21)="1'H X ?'W X Qty Panel Top Hung (Casement Profile)",2,1)</f>
        <v>#VALUE!</v>
      </c>
      <c r="U624" s="103" t="e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>#VALUE!</v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 t="e">
        <f>Enginuity!$B$13*IF(TRIM(Enginuity!$A$21)="1'H X ?'W X Qty Panel Top Hung (Casement Profile)",2,1)</f>
        <v>#VALUE!</v>
      </c>
      <c r="U625" s="103" t="e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>#VALUE!</v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 t="str">
        <f>IF(AND(ISNUMBER(Enginuity!$B$13), Enginuity!$B$13&gt;0), Enginuity!$B$13*4, "")</f>
        <v/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 t="e">
        <f>Enginuity!$B$13*
 IF(Enginuity!$B$7&lt;5,2,
 IF(Enginuity!$B$7&lt;6,3,
 IF(Enginuity!$B$7&lt;=7,4,5)))</f>
        <v>#VALUE!</v>
      </c>
      <c r="U628" s="103" t="e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>#VALUE!</v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 t="e">
        <f>Enginuity!$B$13*
 IF(Enginuity!$B$7&lt;5,2,
 IF(Enginuity!$B$7&lt;6,3,
 IF(Enginuity!$B$7&lt;=7,4,5)))</f>
        <v>#VALUE!</v>
      </c>
      <c r="U629" s="103" t="e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>#VALUE!</v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 t="e">
        <f>Enginuity!$B$13*2</f>
        <v>#VALUE!</v>
      </c>
      <c r="U630" s="103" t="e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>#VALUE!</v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 t="e">
        <f>Enginuity!$B$13*2</f>
        <v>#VALUE!</v>
      </c>
      <c r="U631" s="103" t="e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>#VALUE!</v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 t="e">
        <f>Enginuity!$B$13*1</f>
        <v>#VALUE!</v>
      </c>
      <c r="U632" s="103" t="e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>#VALUE!</v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 t="e">
        <f>$Q$3</f>
        <v>#VALUE!</v>
      </c>
      <c r="U640" s="103" t="e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>#VALUE!</v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 t="e">
        <f>$Q$6</f>
        <v>#VALUE!</v>
      </c>
      <c r="U642" s="103" t="e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>#VALUE!</v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 t="e">
        <f>Enginuity!$B$7*Enginuity!$B$13</f>
        <v>#VALUE!</v>
      </c>
      <c r="U644" s="103" t="e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>#VALUE!</v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/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M/B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 t="e">
        <f>IF(AND(Enginuity!$B$6&gt;0, Enginuity!$B$7&gt;0, Enginuity!$B$13&gt;0), (2 * Enginuity!$B$7 * Enginuity!$B$13) + (2 * Enginuity!$B$6), "")</f>
        <v>#VALUE!</v>
      </c>
      <c r="U670" s="103" t="e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>#VALUE!</v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 t="e">
        <f>IF(AND(Enginuity!$B$6&gt;0, Enginuity!$B$7&gt;0, Enginuity!$B$13&gt;0), ((2*Enginuity!$B$7*Enginuity!$B$13)+(2*Enginuity!$B$6))*2, "")</f>
        <v>#VALUE!</v>
      </c>
      <c r="U671" s="103" t="e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>#VALUE!</v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72" s="103" t="e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>#VALUE!</v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 t="e">
        <f>Enginuity!$B$13*IF(TRIM(Enginuity!$A$21)="1'H X ?'W X Qty Panel Top Hung (Casement Profile)",2,1)</f>
        <v>#VALUE!</v>
      </c>
      <c r="U673" s="103" t="e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>#VALUE!</v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 t="e">
        <f>Enginuity!$B$13*IF(TRIM(Enginuity!$A$21)="1'H X ?'W X Qty Panel Top Hung (Casement Profile)",2,1)</f>
        <v>#VALUE!</v>
      </c>
      <c r="U674" s="103" t="e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>#VALUE!</v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 t="str">
        <f>IF(AND(ISNUMBER(Enginuity!$B$13), Enginuity!$B$13&gt;0), Enginuity!$B$13*4, "")</f>
        <v/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 t="e">
        <f>Enginuity!$B$13*
 IF(Enginuity!$B$7&lt;5,2,
 IF(Enginuity!$B$7&lt;6,3,
 IF(Enginuity!$B$7&lt;=7,4,5)))</f>
        <v>#VALUE!</v>
      </c>
      <c r="U677" s="103" t="e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>#VALUE!</v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 t="e">
        <f>Enginuity!$B$13*
 IF(Enginuity!$B$7&lt;5,2,
 IF(Enginuity!$B$7&lt;6,3,
 IF(Enginuity!$B$7&lt;=7,4,5)))</f>
        <v>#VALUE!</v>
      </c>
      <c r="U678" s="103" t="e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>#VALUE!</v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 t="e">
        <f>Enginuity!$B$13*2</f>
        <v>#VALUE!</v>
      </c>
      <c r="U679" s="103" t="e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>#VALUE!</v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 t="e">
        <f>Enginuity!$B$13*2</f>
        <v>#VALUE!</v>
      </c>
      <c r="U680" s="103" t="e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>#VALUE!</v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 t="e">
        <f>Enginuity!$B$13*1</f>
        <v>#VALUE!</v>
      </c>
      <c r="U681" s="103" t="e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>#VALUE!</v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 t="e">
        <f>$Q$3</f>
        <v>#VALUE!</v>
      </c>
      <c r="U691" s="103" t="e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>#VALUE!</v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 t="e">
        <f>Enginuity!$B$7*Enginuity!$B$13</f>
        <v>#VALUE!</v>
      </c>
      <c r="U693" s="103" t="e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>#VALUE!</v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/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M/B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 t="e">
        <f>IF(AND(Enginuity!$B$6&gt;0, Enginuity!$B$7&gt;0, Enginuity!$B$13&gt;0), (2 * Enginuity!$B$7 * Enginuity!$B$13) + (2 * Enginuity!$B$6), "")</f>
        <v>#VALUE!</v>
      </c>
      <c r="U719" s="103" t="e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>#VALUE!</v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 t="e">
        <f>IF(AND(Enginuity!$B$6&gt;0, Enginuity!$B$7&gt;0, Enginuity!$B$13&gt;0), ((2*Enginuity!$B$7*Enginuity!$B$13)+(2*Enginuity!$B$6))*2, "")</f>
        <v>#VALUE!</v>
      </c>
      <c r="U720" s="103" t="e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>#VALUE!</v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21" s="103" t="e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>#VALUE!</v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 t="e">
        <f>IF(MOD(Enginuity!$B$13,2)=1,1,0)</f>
        <v>#VALUE!</v>
      </c>
      <c r="U722" s="103" t="e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>#VALUE!</v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 t="e">
        <f>FLOOR(Enginuity!$B$13/2,1)</f>
        <v>#VALUE!</v>
      </c>
      <c r="U723" s="103" t="e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>#VALUE!</v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 t="str">
        <f>IF(AND(ISNUMBER(Enginuity!$B$13), Enginuity!$B$13&gt;0), Enginuity!$B$13*4, "")</f>
        <v/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 t="e">
        <f>FLOOR(Enginuity!$B$13/2,1)</f>
        <v>#VALUE!</v>
      </c>
      <c r="U725" s="103" t="e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>#VALUE!</v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 t="e">
        <f>(Enginuity!$B$13*
  IF(Enginuity!$B$7&lt;=7,3,
  IF(Enginuity!$B$7&lt;=9,4,
  IF(Enginuity!$B$7&lt;=11,5,6))))
  - (2*FLOOR((Enginuity!$B$13-1)/2,1))</f>
        <v>#VALUE!</v>
      </c>
      <c r="U726" s="103" t="e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>#VALUE!</v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 t="e">
        <f>FLOOR(Enginuity!$B$13/2,1)</f>
        <v>#VALUE!</v>
      </c>
      <c r="U727" s="103" t="e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>#VALUE!</v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 t="e">
        <f>(FLOOR(Enginuity!$B$13/2,1)*2)+IF(MOD(Enginuity!$B$13,2)=1,2,0)</f>
        <v>#VALUE!</v>
      </c>
      <c r="U728" s="103" t="e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>#VALUE!</v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 t="e">
        <f>IF(AND(Enginuity!$B$7&gt;0, Enginuity!$B$13&gt;0), Enginuity!$B$7 * Enginuity!$B$13, "")</f>
        <v>#VALUE!</v>
      </c>
      <c r="U745" s="103" t="e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>#VALUE!</v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 t="e">
        <f>IF(AND(Enginuity!$B$7&gt;0, Enginuity!$B$13&gt;0), Enginuity!$B$7 * Enginuity!$B$13, "")</f>
        <v>#VALUE!</v>
      </c>
      <c r="U746" s="103" t="e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>#VALUE!</v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/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M/B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 t="e">
        <f>IF(AND(Enginuity!$B$6&gt;0, Enginuity!$B$7&gt;0, Enginuity!$B$13&gt;0), (2 * Enginuity!$B$7 * Enginuity!$B$13) + (2 * Enginuity!$B$6), "")</f>
        <v>#VALUE!</v>
      </c>
      <c r="U758" s="103" t="e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>#VALUE!</v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 t="e">
        <f>IF(AND(Enginuity!$B$6&gt;0, Enginuity!$B$7&gt;0, Enginuity!$B$13&gt;0), ((2*Enginuity!$B$7*Enginuity!$B$13)+(2*Enginuity!$B$6))*2, "")</f>
        <v>#VALUE!</v>
      </c>
      <c r="U759" s="103" t="e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>#VALUE!</v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60" s="103" t="e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>#VALUE!</v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 t="str">
        <f>IF(AND(ISNUMBER(Enginuity!$B$13), Enginuity!$B$13&gt;0), Enginuity!$B$13*4, "")</f>
        <v/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 t="str">
        <f>Enginuity!$B$13</f>
        <v/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 t="e">
        <f>Enginuity!$B$13*2</f>
        <v>#VALUE!</v>
      </c>
      <c r="U766" s="103" t="e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>#VALUE!</v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 t="e">
        <f>Enginuity!$B$13*4</f>
        <v>#VALUE!</v>
      </c>
      <c r="U768" s="103" t="e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>#VALUE!</v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 t="e">
        <f>Enginuity!$B$13*2</f>
        <v>#VALUE!</v>
      </c>
      <c r="U769" s="103" t="e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>#VALUE!</v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 t="e">
        <f>IF(AND(Enginuity!$B$7&gt;0, Enginuity!$B$13&gt;0), Enginuity!$B$7 * Enginuity!$B$13, "")</f>
        <v>#VALUE!</v>
      </c>
      <c r="U794" s="103" t="e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>#VALUE!</v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 t="e">
        <f>IF(AND(Enginuity!$B$7&gt;0, Enginuity!$B$13&gt;0), Enginuity!$B$7 * Enginuity!$B$13, "")</f>
        <v>#VALUE!</v>
      </c>
      <c r="U795" s="103" t="e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>#VALUE!</v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/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M/B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 t="e">
        <f>IF(AND(Enginuity!$B$6&gt;0, Enginuity!$B$7&gt;0, Enginuity!$B$13&gt;0), (2 * Enginuity!$B$7 * Enginuity!$B$13) + (2 * Enginuity!$B$6), "")</f>
        <v>#VALUE!</v>
      </c>
      <c r="U807" s="103" t="e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>#VALUE!</v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 t="e">
        <f>IF(AND(Enginuity!$B$6&gt;0, Enginuity!$B$7&gt;0, Enginuity!$B$13&gt;0), ((2*Enginuity!$B$7*Enginuity!$B$13)+(2*Enginuity!$B$6))*2, "")</f>
        <v>#VALUE!</v>
      </c>
      <c r="U808" s="103" t="e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>#VALUE!</v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09" s="103" t="e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>#VALUE!</v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 t="str">
        <f>IF(AND(ISNUMBER(Enginuity!$B$13), Enginuity!$B$13&gt;0), Enginuity!$B$13*4, "")</f>
        <v/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4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 t="e">
        <f>Enginuity!$B$13*4</f>
        <v>#VALUE!</v>
      </c>
      <c r="U816" s="103" t="e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>#VALUE!</v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60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 t="e">
        <f>Enginuity!$B$7*Enginuity!$B$13</f>
        <v>#VALUE!</v>
      </c>
      <c r="U836" s="103" t="e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>#VALUE!</v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 t="e">
        <f>(Enginuity!$B$6/Enginuity!$B$13 + Enginuity!$B$7)*2*Enginuity!$B$13</f>
        <v>#VALUE!</v>
      </c>
      <c r="U837" s="103" t="e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>#VALUE!</v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 t="e">
        <f>ROUNDUP(((Enginuity!$B$13-1)*Enginuity!$B$7)/32.8, 0)</f>
        <v>#VALUE!</v>
      </c>
      <c r="U838" s="103" t="e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>#VALUE!</v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M/B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3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 t="e">
        <f>$Q$3</f>
        <v>#VALUE!</v>
      </c>
      <c r="U885" s="103" t="e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>#VALUE!</v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 t="e">
        <f>IF(AND(Enginuity!$B$7&gt;0, Enginuity!$B$13&gt;1), (Enginuity!$B$13 - 1) * Enginuity!$B$7, "")</f>
        <v>#VALUE!</v>
      </c>
      <c r="U886" s="103" t="e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>#VALUE!</v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12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180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 t="e">
        <f>ROUNDUP((Enginuity!$B$6*2 + Enginuity!$B$13*2*Enginuity!$B$7)/3, 0)</f>
        <v>#VALUE!</v>
      </c>
      <c r="U892" s="103" t="e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>#VALUE!</v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 t="e">
        <f>Enginuity!$B$6*2 + Enginuity!$B$13*2*Enginuity!$B$7</f>
        <v>#VALUE!</v>
      </c>
      <c r="U893" s="103" t="e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>#VALUE!</v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5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180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 t="e">
        <f>ROUNDUP((Enginuity!$B$6*2 + Enginuity!$B$13*2*Enginuity!$B$7)/3, 0)</f>
        <v>#VALUE!</v>
      </c>
      <c r="U909" s="103" t="e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>#VALUE!</v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 t="e">
        <f>Enginuity!$B$13 *
 IF(Enginuity!$B$7&lt;8,3,
 IF(Enginuity!$B$7&lt;10,4,
 IF(Enginuity!$B$7&lt;12,5,
 6)))</f>
        <v>#VALUE!</v>
      </c>
      <c r="U911" s="103" t="e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>#VALUE!</v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60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30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180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180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0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 t="e">
        <f>ROUNDUP((Enginuity!$B$6*2 + Enginuity!$B$13*2*Enginuity!$B$7)/3, 0)</f>
        <v>#VALUE!</v>
      </c>
      <c r="U942" s="103" t="e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>#VALUE!</v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0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60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30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60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M/B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 t="str">
        <f>IF(Enginuity!$A$17="", "", Enginuity!$B$13)</f>
        <v/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 t="str">
        <f>IF(Enginuity!$A$17="", "", Enginuity!$B$13)</f>
        <v/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M/B</v>
      </c>
      <c r="Q990" s="82">
        <f>IFERROR(
  IF(OR(Enginuity!$B$6="",Enginuity!$B$7=""),"",
     VALUE(Enginuity!$B$6)*VALUE(Enginuity!$B$7) - N(Q998)
  ),
"")</f>
        <v>60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 t="str">
        <f>IFERROR(
  IF(OR(Enginuity!$B$7="",Enginuity!$B$13="",Enginuity!$B$13=0),"",
     N(Enginuity!$B$13) * IF(N(Enginuity!$B$7)&gt;8, 2, 1)
  ),
"")</f>
        <v/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 t="str">
        <f>Enginuity!$B$13</f>
        <v/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 t="e">
        <f>SUMPRODUCT(O998:O1001, Q998:Q1001)</f>
        <v>#VALUE!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M/B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 t="e">
        <f>ROUNDUP((Enginuity!$B$6*2 + Enginuity!$B$13*2*Enginuity!$B$7)/3, 0)</f>
        <v>#VALUE!</v>
      </c>
      <c r="U999" s="103" t="e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>#VALUE!</v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 t="e">
        <f>IF(Enginuity!$B$15&gt;1200, 3*Enginuity!$B$13, 2*Enginuity!$B$13)</f>
        <v>#VALUE!</v>
      </c>
      <c r="U1001" s="103" t="e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>#VALUE!</v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M/B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 t="e">
        <f>ROUNDUP((Enginuity!$B$6*2 + Enginuity!$B$13*2*Enginuity!$B$7)/3, 0)</f>
        <v>#VALUE!</v>
      </c>
      <c r="U1005" s="103" t="e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>#VALUE!</v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 t="e">
        <f>IF(Enginuity!$B$15&gt;1200, 3*Enginuity!$B$13, 2*Enginuity!$B$13)</f>
        <v>#VALUE!</v>
      </c>
      <c r="U1007" s="103" t="e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>#VALUE!</v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M/B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 t="e">
        <f>ROUNDUP((Enginuity!$B$6*2 + Enginuity!$B$13*2*Enginuity!$B$7)/3, 0)</f>
        <v>#VALUE!</v>
      </c>
      <c r="U1017" s="103" t="e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>#VALUE!</v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 t="e">
        <f>IF(Enginuity!$B$15&gt;1200, 3*Enginuity!$B$13, 2*Enginuity!$B$13)</f>
        <v>#VALUE!</v>
      </c>
      <c r="U1021" s="103" t="e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>#VALUE!</v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 t="e">
        <f>IF(AND(Enginuity!$B$7&gt;0, Enginuity!$B$13&gt;1), (Enginuity!$B$13 - 1) * Enginuity!$B$7, "")</f>
        <v>#VALUE!</v>
      </c>
      <c r="U1029" s="103" t="e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>#VALUE!</v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M/B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 t="e">
        <f>IF(AND(Enginuity!$B$7&gt;0, Enginuity!$B$13&gt;1), (Enginuity!$B$13 - 1) * Enginuity!$B$7, "")</f>
        <v>#VALUE!</v>
      </c>
      <c r="U1049" s="103" t="e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>#VALUE!</v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M/B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/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/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/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 t="e">
        <f>$Q$3</f>
        <v>#VALUE!</v>
      </c>
      <c r="U1123" s="103" t="e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>#VALUE!</v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 t="e">
        <f>$Q$6</f>
        <v>#VALUE!</v>
      </c>
      <c r="U1125" s="103" t="e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>#VALUE!</v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 t="e">
        <f>$Q$3</f>
        <v>#VALUE!</v>
      </c>
      <c r="U1131" s="103" t="e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>#VALUE!</v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 t="e">
        <f>$Q$6</f>
        <v>#VALUE!</v>
      </c>
      <c r="U1133" s="103" t="e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>#VALUE!</v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M/B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 t="e">
        <f>IF(AND(Enginuity!$B$6&gt;0, Enginuity!$B$7&gt;0, Enginuity!$B$13&gt;0), (2 * Enginuity!$B$7 * Enginuity!$B$13) + (2 * Enginuity!$B$6), "")</f>
        <v>#VALUE!</v>
      </c>
      <c r="U1152" s="103" t="e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>#VALUE!</v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153" s="103" t="e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>#VALUE!</v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 t="e">
        <f>IF(AND(Enginuity!$B$7&gt;0, Enginuity!$B$13&gt;1), (Enginuity!$B$13 - 1) * 2, "")</f>
        <v>#VALUE!</v>
      </c>
      <c r="U1154" s="103" t="e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>#VALUE!</v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/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/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46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/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e">
        <f>IF(ROUND(Enginuity!$B$13,0)=2,2,"")</f>
        <v>#VALUE!</v>
      </c>
      <c r="U1219" s="103" t="e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>#VALUE!</v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e">
        <f>IF(ROUND(Enginuity!$B$13,0)=2,2,"")</f>
        <v>#VALUE!</v>
      </c>
      <c r="U1220" s="103" t="e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>#VALUE!</v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367.13249999999999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116.55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/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 t="str">
        <f>IF(OR(Enginuity!$B$6="",Enginuity!$B$7="",Enginuity!$B$13=""),"",
 ROUNDUP(
  MAX(0,
    Enginuity!$B$6*MIN(Enginuity!$B$7,8)
    - MIN(Enginuity!$B$6, 3*Enginuity!$B$13) * MIN(7,Enginuity!$B$7)
  ),0)
)</f>
        <v/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/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e">
        <f>IF(ROUND(Enginuity!$B$13,0)=2,2,"")</f>
        <v>#VALUE!</v>
      </c>
      <c r="U1244" s="103" t="e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>#VALUE!</v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e">
        <f>IF(ROUND(Enginuity!$B$13,0)=2,2,"")</f>
        <v>#VALUE!</v>
      </c>
      <c r="U1245" s="103" t="e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>#VALUE!</v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34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34</v>
      </c>
      <c r="M1425" s="88"/>
      <c r="N1425" s="12" t="s">
        <v>817</v>
      </c>
      <c r="O1425" s="22"/>
      <c r="P1425" s="5" t="str">
        <f>Enginuity!$A$18</f>
        <v>Sliding Door Economy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34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34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34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34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34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34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34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34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34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34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M/B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 t="str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/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/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/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 t="str">
        <f>IF(OR(Enginuity!$B$6="",Enginuity!$B$7="",Enginuity!$B$13=""),"",
   CEILING(
      (((Enginuity!$B$7*2)+(Enginuity!$B$6*2)) * Enginuity!$B$13) / 20.013,
      1
   )
)</f>
        <v/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 t="str">
        <f>IF(OR(Enginuity!$B$6="",Enginuity!$B$7="",Enginuity!$B$13=""),"",
   CEILING(
      (((Enginuity!$B$7*2)+(Enginuity!$B$6*2)) * Enginuity!$B$13) / 20.013,
      1
   )
)</f>
        <v/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M/B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 t="e">
        <f>IF(AND(Enginuity!$B$6&gt;0, Enginuity!$B$7&gt;0, Enginuity!$B$13&gt;0), ((2*Enginuity!$B$7*Enginuity!$B$13)+(2*Enginuity!$B$6))*2, "")</f>
        <v>#VALUE!</v>
      </c>
      <c r="U1613" s="103" t="e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>#VALUE!</v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M/B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 t="e">
        <f>IF(AND(Enginuity!$B$6&gt;0, Enginuity!$B$7&gt;0, Enginuity!$B$13&gt;0), (2 * Enginuity!$B$7 * Enginuity!$B$13) + (2 * Enginuity!$B$6), "")</f>
        <v>#VALUE!</v>
      </c>
      <c r="U1620" s="103" t="e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>#VALUE!</v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 t="e">
        <f>IF(AND(Enginuity!$B$6&gt;0, Enginuity!$B$7&gt;0, Enginuity!$B$13&gt;0), ((2*Enginuity!$B$7*Enginuity!$B$13)+(2*Enginuity!$B$6))*2, "")</f>
        <v>#VALUE!</v>
      </c>
      <c r="U1621" s="103" t="e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>#VALUE!</v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22" s="103" t="e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>#VALUE!</v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 t="e">
        <f>Enginuity!$B$13*IF(TRIM(Enginuity!$A$21)="1'H X ?'W X Qty Panel Top Hung (Casement Profile)",2,1)</f>
        <v>#VALUE!</v>
      </c>
      <c r="U1623" s="103" t="e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>#VALUE!</v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 t="e">
        <f>Enginuity!$B$13*IF(TRIM(Enginuity!$A$21)="1'H X ?'W X Qty Panel Top Hung (Casement Profile)",2,1)</f>
        <v>#VALUE!</v>
      </c>
      <c r="U1624" s="103" t="e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>#VALUE!</v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 t="str">
        <f>IF(AND(ISNUMBER(Enginuity!$B$13), Enginuity!$B$13&gt;0), Enginuity!$B$13*4, "")</f>
        <v/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 t="str">
        <f>IF(AND(ISNUMBER(Enginuity!$B$13), Enginuity!$B$13&gt;0), Enginuity!$B$13*4, "")</f>
        <v/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 t="e">
        <f>Enginuity!$B$13*4</f>
        <v>#VALUE!</v>
      </c>
      <c r="U1628" s="103" t="e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>#VALUE!</v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 t="e">
        <f>Enginuity!$B$13*
 IF(Enginuity!$B$7&lt;5,2,
 IF(Enginuity!$B$7&lt;6,3,
 IF(Enginuity!$B$7&lt;=7,4,5)))</f>
        <v>#VALUE!</v>
      </c>
      <c r="U1629" s="103" t="e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>#VALUE!</v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 t="e">
        <f>Enginuity!$B$13*
 IF(Enginuity!$B$7&lt;5,2,
 IF(Enginuity!$B$7&lt;6,3,
 IF(Enginuity!$B$7&lt;=7,4,5)))</f>
        <v>#VALUE!</v>
      </c>
      <c r="U1630" s="103" t="e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>#VALUE!</v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 t="e">
        <f>Enginuity!$B$13*2</f>
        <v>#VALUE!</v>
      </c>
      <c r="U1631" s="103" t="e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>#VALUE!</v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 t="e">
        <f>Enginuity!$B$13*2</f>
        <v>#VALUE!</v>
      </c>
      <c r="U1632" s="103" t="e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>#VALUE!</v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 t="e">
        <f>Enginuity!$B$13*1</f>
        <v>#VALUE!</v>
      </c>
      <c r="U1633" s="103" t="e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>#VALUE!</v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 t="e">
        <f>$Q$3</f>
        <v>#VALUE!</v>
      </c>
      <c r="U1638" s="103" t="e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>#VALUE!</v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 t="e">
        <f>Enginuity!$B$7*Enginuity!$B$13</f>
        <v>#VALUE!</v>
      </c>
      <c r="U1640" s="103" t="e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>#VALUE!</v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/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M/B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 t="e">
        <f>IF(AND(Enginuity!$B$6&gt;0, Enginuity!$B$7&gt;0, Enginuity!$B$13&gt;0), (2 * Enginuity!$B$7 * Enginuity!$B$13) + (2 * Enginuity!$B$6), "")</f>
        <v>#VALUE!</v>
      </c>
      <c r="U1666" s="103" t="e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>#VALUE!</v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 t="e">
        <f>IF(AND(Enginuity!$B$6&gt;0, Enginuity!$B$7&gt;0, Enginuity!$B$13&gt;0), ((2*Enginuity!$B$7*Enginuity!$B$13)+(2*Enginuity!$B$6))*2, "")</f>
        <v>#VALUE!</v>
      </c>
      <c r="U1667" s="103" t="e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>#VALUE!</v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68" s="103" t="e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>#VALUE!</v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 t="e">
        <f>IF(MOD(Enginuity!$B$13,2)=1,1,0)</f>
        <v>#VALUE!</v>
      </c>
      <c r="U1669" s="103" t="e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>#VALUE!</v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 t="e">
        <f>FLOOR(Enginuity!$B$13/2,1)</f>
        <v>#VALUE!</v>
      </c>
      <c r="U1670" s="103" t="e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>#VALUE!</v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 t="str">
        <f>IF(AND(ISNUMBER(Enginuity!$B$13), Enginuity!$B$13&gt;0), Enginuity!$B$13*4, "")</f>
        <v/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 t="e">
        <f>FLOOR(Enginuity!$B$13/2,1)</f>
        <v>#VALUE!</v>
      </c>
      <c r="U1672" s="103" t="e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>#VALUE!</v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 t="e">
        <f>(Enginuity!$B$13*
  IF(Enginuity!$B$7&lt;=7,3,
  IF(Enginuity!$B$7&lt;=9,4,
  IF(Enginuity!$B$7&lt;=11,5,6))))
  - (2*FLOOR((Enginuity!$B$13-1)/2,1))</f>
        <v>#VALUE!</v>
      </c>
      <c r="U1673" s="103" t="e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>#VALUE!</v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 t="e">
        <f>FLOOR(Enginuity!$B$13/2,1)</f>
        <v>#VALUE!</v>
      </c>
      <c r="U1674" s="103" t="e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>#VALUE!</v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 t="e">
        <f>(FLOOR(Enginuity!$B$13/2,1)*2)+IF(MOD(Enginuity!$B$13,2)=1,2,0)</f>
        <v>#VALUE!</v>
      </c>
      <c r="U1675" s="103" t="e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>#VALUE!</v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 t="e">
        <f>IF(AND(Enginuity!$B$6&gt;0,Enginuity!$B$7&gt;0,Enginuity!$B$13&gt;0),
   ROUND(2*(Enginuity!$B$6+Enginuity!$B$7)*Enginuity!$B$13,2),
"")</f>
        <v>#VALUE!</v>
      </c>
      <c r="U1685" s="103" t="e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>#VALUE!</v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5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 t="e">
        <f>Enginuity!$B$7*Enginuity!$B$13</f>
        <v>#VALUE!</v>
      </c>
      <c r="U1687" s="103" t="e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>#VALUE!</v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/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 t="str">
        <f>IF(OR(Enginuity!$B$6="",Enginuity!$B$7="",Enginuity!$B$13=""),"",
  2*(Enginuity!$B$6+Enginuity!$B$7)*Enginuity!$B$13*2
)</f>
        <v/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704" s="103" t="e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>#VALUE!</v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 t="e">
        <f>IF(MOD(Enginuity!$B$13,2)=1,1,0)</f>
        <v>#VALUE!</v>
      </c>
      <c r="U1705" s="103" t="e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>#VALUE!</v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 t="str">
        <f>IF(AND(ISNUMBER(Enginuity!$B$13), Enginuity!$B$13&gt;0), Enginuity!$B$13*4, "")</f>
        <v/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 t="str">
        <f>IF(OR(Enginuity!$B$7="",Enginuity!$B$13=""),"",
Enginuity!$B$13*
IF(Enginuity!$B$7&lt;=7,4,
IF(Enginuity!$B$7&lt;=9,5,
IF(Enginuity!$B$7&lt;=11,6,7))))</f>
        <v/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 t="str">
        <f>IF(OR(Enginuity!$B$13="",Enginuity!$B$13&lt;2),"",Enginuity!$B$13-1)</f>
        <v/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 t="e">
        <f>(FLOOR(Enginuity!$B$13/2,1)*2)+IF(MOD(Enginuity!$B$13,2)=1,2,0)</f>
        <v>#VALUE!</v>
      </c>
      <c r="U1709" s="103" t="e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>#VALUE!</v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 t="str">
        <f>IF(OR(Enginuity!$B$13="",Enginuity!$B$13=0),"",Enginuity!$B$13*2)</f>
        <v/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1276.5999999999999</v>
      </c>
      <c r="P1711" s="14" t="str">
        <f>IF(Enginuity!$A$19="","", "Dual Security Door Insert c/w SS Mesh + " &amp; Enginuity!$A$19)</f>
        <v>Dual Security Door Insert c/w SS Mesh + M/B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 t="e">
        <f>IF(AND(Enginuity!$B$6&gt;0,Enginuity!$B$7&gt;0,Enginuity!$B$13&gt;0),
   ROUND(2*(Enginuity!$B$6+Enginuity!$B$7)*Enginuity!$B$13,2),
"")</f>
        <v>#VALUE!</v>
      </c>
      <c r="U1734" s="103" t="e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>#VALUE!</v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 t="e">
        <f>IF(AND(Enginuity!$B$6&gt;0,Enginuity!$B$7&gt;0,Enginuity!$B$13&gt;0),
   ROUND(2*(Enginuity!$B$6+Enginuity!$B$7)*Enginuity!$B$13,2),
"")</f>
        <v>#VALUE!</v>
      </c>
      <c r="U1735" s="103" t="e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>#VALUE!</v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 t="str">
        <f>IF(OR(Enginuity!$B$7="",Enginuity!$B$13=""),"",Enginuity!$B$7*Enginuity!$B$13*2)</f>
        <v/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 t="str">
        <f>IF(Enginuity!$B$13="","",Enginuity!$B$13)</f>
        <v/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 t="str">
        <f>IF(Enginuity!$B$13="","",Enginuity!$B$13)</f>
        <v/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 t="str">
        <f>IF(Enginuity!$B$13="","",Enginuity!$B$13)</f>
        <v/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 t="str">
        <f>IF(OR(Enginuity!$B$13="",Enginuity!$B$13=0),"",Enginuity!$B$13*2)</f>
        <v/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 t="str">
        <f>IF(Enginuity!$B$13="","",Enginuity!$B$13)</f>
        <v/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 t="str">
        <f>IF(OR(Enginuity!$B$13="",Enginuity!$B$13=0),"",Enginuity!$B$13*8)</f>
        <v/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 t="str">
        <f>IF(OR(Enginuity!$B$13="",Enginuity!$B$13=0),"",Enginuity!$B$13*8)</f>
        <v/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 t="str">
        <f>IF(OR(Enginuity!$B$13="",Enginuity!$B$13=0),"",Enginuity!$B$13*2)</f>
        <v/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 t="str">
        <f>IF(Enginuity!$B$13="","",Enginuity!$B$13*20)</f>
        <v/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 t="str">
        <f>IF(Enginuity!$B$13="","",Enginuity!$B$13*20)</f>
        <v/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 t="str">
        <f>IF(OR(Enginuity!$B$6="",Enginuity!$B$7="",Enginuity!$B$13=""),"",
  2*(Enginuity!$B$6+Enginuity!$B$7)*Enginuity!$B$13*2
)</f>
        <v/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 t="str">
        <f>IF(OR(Enginuity!$B$6="",Enginuity!$B$7="",Enginuity!$B$13=""),"",
  2*(Enginuity!$B$6+Enginuity!$B$7)*Enginuity!$B$13*2
)</f>
        <v/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M/B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 t="e">
        <f>IF(COUNTA(Q1733:Q1750,O1733:O1750)=0,"",SUMPRODUCT(Q1733:Q1750,O1733:O1750))</f>
        <v>#VALUE!</v>
      </c>
      <c r="Q1752" s="82"/>
      <c r="U1752" s="103" t="e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>#VALUE!</v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17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17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17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220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15 Blade 4" Adjustable Altair Louver</v>
      </c>
      <c r="Q1785" s="82">
        <f>IFERROR(MAX(1, ROUNDUP(VALUE(Enginuity!$B$13), 0)), 1)</f>
        <v>1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11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11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11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▼ [Service Mode] Sliding Door Economy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▼ [Service Mode] Sliding Door Economy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▼ [Service Mode] Sliding Door Economy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▼ [Service Mode] Sliding Door Economy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M/B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 t="str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/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 t="str">
        <f>IF(OR(Enginuity!$B$6="",Enginuity!$B$15=""),
   "",
   CEILING(
      (
         Enginuity!$B$6*304.8 +
         (MAX(0,ROUNDUP(Enginuity!$B$6*304.8/Enginuity!$B$15,0)-1))*1000
      )*24/24716,
   1)
)</f>
        <v/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M/B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 t="str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/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 t="e">
        <f>IF(AND(Enginuity!$B$7&gt;0, Enginuity!$B$13&gt;0), Enginuity!$B$7 * Enginuity!$B$13, "")</f>
        <v>#VALUE!</v>
      </c>
      <c r="U2202" s="103" t="e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>#VALUE!</v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 t="e">
        <f>IF(AND(Enginuity!$B$7&gt;0, Enginuity!$B$13&gt;0), Enginuity!$B$7 * Enginuity!$B$13, "")</f>
        <v>#VALUE!</v>
      </c>
      <c r="U2203" s="103" t="e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>#VALUE!</v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5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/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 t="e">
        <f>IF(AND(Enginuity!$B$7&gt;0, Enginuity!$B$13&gt;0), Enginuity!$B$7 * Enginuity!$B$13, "")</f>
        <v>#VALUE!</v>
      </c>
      <c r="U2220" s="103" t="e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>#VALUE!</v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 t="e">
        <f>IF(AND(Enginuity!$B$7&gt;0, Enginuity!$B$13&gt;0), Enginuity!$B$7 * Enginuity!$B$13, "")</f>
        <v>#VALUE!</v>
      </c>
      <c r="U2221" s="103" t="e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>#VALUE!</v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5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/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M/B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 t="e">
        <f>IF(AND(Enginuity!$B$6&gt;0, Enginuity!$B$7&gt;0, Enginuity!$B$13&gt;0), (2 * Enginuity!$B$7 * Enginuity!$B$13) + (2 * Enginuity!$B$6), "")</f>
        <v>#VALUE!</v>
      </c>
      <c r="U2235" s="103" t="e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>#VALUE!</v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 t="e">
        <f>IF(AND(Enginuity!$B$6&gt;0, Enginuity!$B$7&gt;0, Enginuity!$B$13&gt;0), ((2*Enginuity!$B$7*Enginuity!$B$13)+(2*Enginuity!$B$6))*2, "")</f>
        <v>#VALUE!</v>
      </c>
      <c r="U2236" s="103" t="e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>#VALUE!</v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37" s="103" t="e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>#VALUE!</v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 t="str">
        <f>Enginuity!$B$13</f>
        <v/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 t="e">
        <f>Enginuity!$B$13*4</f>
        <v>#VALUE!</v>
      </c>
      <c r="U2241" s="103" t="e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>#VALUE!</v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 t="e">
        <f>Enginuity!$B$13*2</f>
        <v>#VALUE!</v>
      </c>
      <c r="U2242" s="103" t="e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>#VALUE!</v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 t="e">
        <f>$Q$3</f>
        <v>#VALUE!</v>
      </c>
      <c r="U2244" s="103" t="e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#VALUE!</v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 t="e">
        <f>$Q$6</f>
        <v>#VALUE!</v>
      </c>
      <c r="U2246" s="103" t="e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#VALUE!</v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 t="e">
        <f>$Q$3</f>
        <v>#VALUE!</v>
      </c>
      <c r="U2252" s="103" t="e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>#VALUE!</v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 t="e">
        <f>$Q$6</f>
        <v>#VALUE!</v>
      </c>
      <c r="U2254" s="103" t="e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>#VALUE!</v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M/B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 t="e">
        <f>IF(AND(Enginuity!$B$6&gt;0, Enginuity!$B$7&gt;0, Enginuity!$B$13&gt;0), (2 * Enginuity!$B$7 * Enginuity!$B$13) + (2 * Enginuity!$B$6), "")</f>
        <v>#VALUE!</v>
      </c>
      <c r="U2273" s="103" t="e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#VALUE!</v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74" s="103" t="e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#VALUE!</v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 t="e">
        <f>IF(AND(Enginuity!$B$7&gt;0, Enginuity!$B$13&gt;1), (Enginuity!$B$13 - 1) * 2, "")</f>
        <v>#VALUE!</v>
      </c>
      <c r="U2275" s="103" t="e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#VALUE!</v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Sliding Door Economy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M/B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/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28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Sliding Door Economy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M/B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28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9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29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31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31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5" t="s">
        <v>1511</v>
      </c>
      <c r="G3" s="436"/>
      <c r="H3" s="436"/>
      <c r="I3" s="437"/>
      <c r="Q3" s="257" t="s">
        <v>1474</v>
      </c>
      <c r="R3" s="258">
        <v>25</v>
      </c>
      <c r="S3" s="268"/>
      <c r="V3" s="432" t="s">
        <v>1475</v>
      </c>
      <c r="W3" s="433"/>
      <c r="X3" s="433"/>
      <c r="Y3" s="434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5" t="s">
        <v>1510</v>
      </c>
      <c r="G7" s="436"/>
      <c r="H7" s="436"/>
      <c r="I7" s="437"/>
      <c r="Q7" s="257" t="s">
        <v>1483</v>
      </c>
      <c r="R7" s="262" t="s">
        <v>1479</v>
      </c>
      <c r="S7" s="268"/>
      <c r="V7" s="432" t="s">
        <v>1484</v>
      </c>
      <c r="W7" s="433"/>
      <c r="X7" s="433"/>
      <c r="Y7" s="434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1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31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 t="e">
        <f>$C$38</f>
        <v>#VALUE!</v>
      </c>
      <c r="J3" s="327" t="e">
        <f>$C$39</f>
        <v>#VALUE!</v>
      </c>
      <c r="K3" s="327" t="e">
        <f>$C$40</f>
        <v>#VALUE!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 t="e">
        <f>I3</f>
        <v>#VALUE!</v>
      </c>
      <c r="R3" s="328" t="e">
        <f t="shared" ref="R3:S5" si="1">J3</f>
        <v>#VALUE!</v>
      </c>
      <c r="S3" s="328" t="e">
        <f t="shared" si="1"/>
        <v>#VALUE!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 t="e">
        <f t="shared" ref="I4:I12" si="2">$C$38</f>
        <v>#VALUE!</v>
      </c>
      <c r="J4" s="358" t="e">
        <f>$C$39</f>
        <v>#VALUE!</v>
      </c>
      <c r="K4" s="327" t="e">
        <f t="shared" ref="K4:K12" si="3">$C$40</f>
        <v>#VALUE!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 t="e">
        <f t="shared" ref="Q4:Q5" si="5">I4</f>
        <v>#VALUE!</v>
      </c>
      <c r="R4" s="328" t="e">
        <f t="shared" si="1"/>
        <v>#VALUE!</v>
      </c>
      <c r="S4" s="328" t="e">
        <f t="shared" si="1"/>
        <v>#VALUE!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1524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 t="e">
        <f t="shared" si="2"/>
        <v>#VALUE!</v>
      </c>
      <c r="J5" s="327" t="e">
        <f t="shared" ref="J5:J12" si="7">$C$39</f>
        <v>#VALUE!</v>
      </c>
      <c r="K5" s="327" t="e">
        <f t="shared" si="3"/>
        <v>#VALUE!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 t="e">
        <f t="shared" si="5"/>
        <v>#VALUE!</v>
      </c>
      <c r="R5" s="328" t="e">
        <f t="shared" si="1"/>
        <v>#VALUE!</v>
      </c>
      <c r="S5" s="328" t="e">
        <f t="shared" si="1"/>
        <v>#VALUE!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 t="str">
        <f>Enginuity!B13</f>
        <v/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 t="e">
        <f t="shared" si="2"/>
        <v>#VALUE!</v>
      </c>
      <c r="J6" s="327" t="e">
        <f t="shared" si="7"/>
        <v>#VALUE!</v>
      </c>
      <c r="K6" s="327" t="e">
        <f t="shared" si="3"/>
        <v>#VALUE!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 t="e">
        <f t="shared" si="2"/>
        <v>#VALUE!</v>
      </c>
      <c r="J7" s="327" t="e">
        <f t="shared" si="7"/>
        <v>#VALUE!</v>
      </c>
      <c r="K7" s="327" t="e">
        <f t="shared" si="3"/>
        <v>#VALUE!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 t="e">
        <f t="shared" si="2"/>
        <v>#VALUE!</v>
      </c>
      <c r="J8" s="327" t="e">
        <f t="shared" si="7"/>
        <v>#VALUE!</v>
      </c>
      <c r="K8" s="327" t="e">
        <f t="shared" si="3"/>
        <v>#VALUE!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 t="e">
        <f t="shared" si="2"/>
        <v>#VALUE!</v>
      </c>
      <c r="J9" s="327" t="e">
        <f t="shared" si="7"/>
        <v>#VALUE!</v>
      </c>
      <c r="K9" s="327" t="e">
        <f t="shared" si="3"/>
        <v>#VALUE!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 t="e">
        <f t="shared" si="2"/>
        <v>#VALUE!</v>
      </c>
      <c r="J10" s="327" t="e">
        <f t="shared" si="7"/>
        <v>#VALUE!</v>
      </c>
      <c r="K10" s="327" t="e">
        <f t="shared" si="3"/>
        <v>#VALUE!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 t="e">
        <f>C25</f>
        <v>#VALUE!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 t="e">
        <f t="shared" si="2"/>
        <v>#VALUE!</v>
      </c>
      <c r="J11" s="327" t="e">
        <f t="shared" si="7"/>
        <v>#VALUE!</v>
      </c>
      <c r="K11" s="327" t="e">
        <f t="shared" si="3"/>
        <v>#VALUE!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 t="e">
        <f t="shared" si="2"/>
        <v>#VALUE!</v>
      </c>
      <c r="J12" s="327" t="e">
        <f t="shared" si="7"/>
        <v>#VALUE!</v>
      </c>
      <c r="K12" s="327" t="e">
        <f t="shared" si="3"/>
        <v>#VALUE!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 t="e">
        <f>SUM(I3:I11)</f>
        <v>#VALUE!</v>
      </c>
      <c r="J15" s="93" t="e">
        <f>SUM(J3:J11)</f>
        <v>#VALUE!</v>
      </c>
      <c r="K15" s="93" t="e">
        <f>SUM(K3:K11)</f>
        <v>#VALUE!</v>
      </c>
      <c r="L15" s="281"/>
      <c r="O15" s="1"/>
      <c r="P15" s="1"/>
      <c r="Q15" s="93" t="e">
        <f>SUM(Q3:Q12)</f>
        <v>#VALUE!</v>
      </c>
      <c r="R15" s="93" t="e">
        <f>SUM(R3:R11)</f>
        <v>#VALUE!</v>
      </c>
      <c r="S15" s="93" t="e">
        <f>SUM(S3:S11)</f>
        <v>#VALUE!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 t="e">
        <f>IF(W15=0,0,W10/W15)</f>
        <v>#VALUE!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 t="e">
        <f>IF(W4=0,0,W16/W4)</f>
        <v>#VALUE!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 t="e">
        <f>W17*1.15</f>
        <v>#VALUE!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15</v>
      </c>
      <c r="C25" s="361" t="e">
        <f>B25*$B$6</f>
        <v>#VALUE!</v>
      </c>
    </row>
    <row r="26" spans="1:40" x14ac:dyDescent="0.25">
      <c r="A26" s="337" t="s">
        <v>1719</v>
      </c>
      <c r="B26" s="356" t="str">
        <f>IF(OR($C$49="",$B$6=""),"",ROUND(($C$49/$B$6)-(2*$B$18),3))</f>
        <v/>
      </c>
      <c r="C26" s="361" t="str">
        <f>B26</f>
        <v/>
      </c>
    </row>
    <row r="27" spans="1:40" x14ac:dyDescent="0.25">
      <c r="A27" s="337" t="s">
        <v>1720</v>
      </c>
      <c r="B27" s="356">
        <f>$C$46</f>
        <v>96.542857142857159</v>
      </c>
      <c r="C27" s="361">
        <f>B27</f>
        <v>96.542857142857159</v>
      </c>
    </row>
    <row r="28" spans="1:40" x14ac:dyDescent="0.25">
      <c r="A28" s="337" t="s">
        <v>1721</v>
      </c>
      <c r="B28" s="362">
        <f>$C$47</f>
        <v>96.542857142857159</v>
      </c>
      <c r="C28" s="381">
        <f>B28</f>
        <v>96.542857142857159</v>
      </c>
    </row>
    <row r="29" spans="1:40" x14ac:dyDescent="0.25">
      <c r="A29" s="337" t="s">
        <v>1722</v>
      </c>
      <c r="B29" s="363">
        <f>ROUND($C$48,10)</f>
        <v>96.542857142900004</v>
      </c>
      <c r="C29" s="364">
        <f>B29</f>
        <v>96.542857142900004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 t="e">
        <f>IF(B30="","",B30*$B$6)</f>
        <v>#VALUE!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1473.2</v>
      </c>
      <c r="C31" s="365">
        <f>B31</f>
        <v>1473.2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1524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 t="e">
        <f>$C$55</f>
        <v>#VALUE!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1473.2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 t="e">
        <f>IF(OR($B$3="",$B$6="",$C$57=""),"",ROUND($C$57/($B$3*$B$6),3))</f>
        <v>#VALUE!</v>
      </c>
      <c r="C38" s="361" t="e">
        <f>$C$57</f>
        <v>#VALUE!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 t="e">
        <f>IF(OR($B$3="",$B$6="",$C$58=""),"",ROUND($C$58/($B$3*$B$6),3))</f>
        <v>#VALUE!</v>
      </c>
      <c r="C39" s="361" t="e">
        <f>$C$58</f>
        <v>#VALUE!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 t="e">
        <f>IF(OR($B$3="",$B$6="",$C$61=""),"",ROUND($C$61/($B$3*$B$6),3))</f>
        <v>#VALUE!</v>
      </c>
      <c r="C40" s="361" t="e">
        <f>$C$61</f>
        <v>#VALUE!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96.542857142857159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96.542857142857159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96.542857142900004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1473.2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1524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 t="e">
        <f>MAX($B$6-1,0)</f>
        <v>#VALUE!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1473.2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 t="e">
        <f>IF(OR($C$25="",$B$26="",$B$17=""),"",ROUNDUP(($C$25*$B$3)/INT(($B$17+$B$20)/($B$26+$B$20)),0))</f>
        <v>#VALUE!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 t="e">
        <f>IF(OR($C$30="",$B$31="",$B$17=""),"",ROUNDUP(($C$30*$B$3)/INT(($B$17+$B$20)/($B$31+$B$20)),0))</f>
        <v>#VALUE!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2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 t="e">
        <f>IF($C$55=0,0,ROUNDUP(($C$55*$B$3)/INT(($B$17+$B$20)/($C$56+$B$20)),0))</f>
        <v>#VALUE!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 t="e">
        <f>IF($B$17="","",CEILING((((((($C$53*$C$51)+($C$54*$C$52)+($C$55*$C$56))*$B$3)+MAX((($C$53+$C$54+$C$55)*$B$3)-1,0)*$B$20)/$B$17)),1))</f>
        <v>#VALUE!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1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1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2026-04-21T22:28:40Z</dcterms:modified>
</cp:coreProperties>
</file>