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74D0E871-4F9C-4B66-BB16-2FC34505D08D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" i="38" l="1" a="1"/>
  <c r="W4" i="38" s="1"/>
  <c r="W66" i="38" s="1"/>
  <c r="T66" i="38"/>
  <c r="R66" i="38" s="1"/>
  <c r="S66" i="38"/>
  <c r="S67" i="38"/>
  <c r="Q66" i="38" a="1"/>
  <c r="Q66" i="38" s="1"/>
  <c r="V61" i="38"/>
  <c r="V62" i="38" a="1"/>
  <c r="V62" i="38" s="1"/>
  <c r="T67" i="38"/>
  <c r="R67" i="38" s="1"/>
  <c r="G61" i="38"/>
  <c r="S65" i="38"/>
  <c r="V63" i="38"/>
  <c r="V64" i="38"/>
  <c r="V65" i="38" l="1" a="1"/>
  <c r="V65" i="38" s="1"/>
  <c r="V109" i="38" a="1"/>
  <c r="V109" i="38" s="1"/>
  <c r="S109" i="38"/>
  <c r="F101" i="38"/>
  <c r="F2" i="19" a="1"/>
  <c r="F2" i="19" s="1"/>
  <c r="F1" i="19" a="1"/>
  <c r="F1" i="19" s="1"/>
  <c r="B42" i="19" a="1"/>
  <c r="F91" i="38"/>
  <c r="F71" i="38"/>
  <c r="F521" i="38"/>
  <c r="F491" i="38"/>
  <c r="F461" i="38"/>
  <c r="F431" i="38"/>
  <c r="F401" i="38"/>
  <c r="F371" i="38"/>
  <c r="F341" i="38"/>
  <c r="G311" i="38"/>
  <c r="F311" i="38"/>
  <c r="F281" i="38"/>
  <c r="F251" i="38"/>
  <c r="F221" i="38"/>
  <c r="F191" i="38"/>
  <c r="F161" i="38"/>
  <c r="T65" i="38" l="1"/>
  <c r="R65" i="38"/>
  <c r="T109" i="38"/>
  <c r="R109" i="38"/>
  <c r="B42" i="19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41" i="19" l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B17" i="1" l="1" a="1"/>
  <c r="B17" i="1" s="1"/>
  <c r="B32" i="1" a="1"/>
  <c r="B32" i="1" s="1"/>
  <c r="B15" i="1" a="1"/>
  <c r="B15" i="1" s="1"/>
  <c r="L2" i="19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298" i="38" s="1" a="1"/>
  <c r="W298" i="38" s="1"/>
  <c r="Y27" i="36"/>
  <c r="AC27" i="36" s="1"/>
  <c r="Y26" i="36"/>
  <c r="AC26" i="36" s="1"/>
  <c r="W177" i="38" s="1" a="1"/>
  <c r="W177" i="38" s="1"/>
  <c r="Y25" i="36"/>
  <c r="AC25" i="36" s="1"/>
  <c r="Y24" i="36"/>
  <c r="AC24" i="36" s="1"/>
  <c r="Y23" i="36"/>
  <c r="AC23" i="36" s="1"/>
  <c r="W119" i="38" a="1"/>
  <c r="W119" i="38" s="1"/>
  <c r="AC48" i="36"/>
  <c r="W174" i="38" s="1" a="1"/>
  <c r="W174" i="38" s="1"/>
  <c r="W61" i="38" l="1" a="1"/>
  <c r="W61" i="38" s="1"/>
  <c r="W329" i="38" a="1"/>
  <c r="W329" i="38" s="1"/>
  <c r="W389" i="38" a="1"/>
  <c r="W389" i="38" s="1"/>
  <c r="P389" i="38" s="1" a="1"/>
  <c r="P389" i="38" s="1"/>
  <c r="W76" i="38" a="1"/>
  <c r="W76" i="38" s="1"/>
  <c r="W63" i="38" a="1"/>
  <c r="W63" i="38" s="1"/>
  <c r="P63" i="38" s="1" a="1"/>
  <c r="P63" i="38" s="1"/>
  <c r="W64" i="38" a="1"/>
  <c r="W64" i="38" s="1"/>
  <c r="P64" i="38" s="1" a="1"/>
  <c r="P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K361" i="38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W457" i="38" s="1" a="1"/>
  <c r="W457" i="38" s="1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P62" i="38" s="1" a="1"/>
  <c r="P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1" i="35"/>
  <c r="B50" i="35"/>
  <c r="B58" i="35"/>
  <c r="B47" i="35"/>
  <c r="B59" i="35"/>
  <c r="B53" i="35"/>
  <c r="B48" i="35"/>
  <c r="B56" i="35"/>
  <c r="B52" i="35"/>
  <c r="B49" i="35"/>
  <c r="B60" i="35"/>
  <c r="B46" i="35"/>
  <c r="B55" i="35"/>
  <c r="B57" i="35"/>
  <c r="B54" i="35"/>
  <c r="W271" i="38" l="1" a="1"/>
  <c r="W271" i="38" s="1"/>
  <c r="W272" i="38" a="1"/>
  <c r="W272" i="38" s="1"/>
  <c r="W427" i="38" a="1"/>
  <c r="W427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K22" i="32" s="1"/>
  <c r="G15" i="32"/>
  <c r="K15" i="32" s="1"/>
  <c r="K21" i="32"/>
  <c r="K23" i="32"/>
  <c r="K13" i="32"/>
  <c r="L13" i="32" s="1"/>
  <c r="K19" i="32"/>
  <c r="J22" i="32"/>
  <c r="C56" i="35"/>
  <c r="B31" i="35"/>
  <c r="C31" i="35" s="1"/>
  <c r="C59" i="35"/>
  <c r="Q2294" i="10"/>
  <c r="F23" i="34"/>
  <c r="H13" i="34"/>
  <c r="B44" i="34"/>
  <c r="AM5" i="33"/>
  <c r="AM4" i="33"/>
  <c r="J16" i="32" l="1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K25" i="32" s="1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B35" i="34" l="1"/>
  <c r="B37" i="34" s="1"/>
  <c r="B38" i="34" s="1"/>
  <c r="B41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F15" i="34" l="1"/>
  <c r="F6" i="34"/>
  <c r="B47" i="34"/>
  <c r="H5" i="34" s="1"/>
  <c r="I5" i="34" s="1"/>
  <c r="G16" i="34"/>
  <c r="H16" i="34" s="1"/>
  <c r="B42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93" i="38" l="1"/>
  <c r="V102" i="38"/>
  <c r="V99" i="38"/>
  <c r="V96" i="38"/>
  <c r="V458" i="38"/>
  <c r="P458" i="38" s="1" a="1"/>
  <c r="P458" i="38" s="1"/>
  <c r="V108" i="38"/>
  <c r="V105" i="38"/>
  <c r="V97" i="38"/>
  <c r="V94" i="38"/>
  <c r="V98" i="38"/>
  <c r="V107" i="38"/>
  <c r="F53" i="25"/>
  <c r="F7" i="25"/>
  <c r="F8" i="25"/>
  <c r="F52" i="25"/>
  <c r="V295" i="38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P91" i="38" s="1" a="1"/>
  <c r="P91" i="38" s="1"/>
  <c r="B13" i="1"/>
  <c r="V6" i="38"/>
  <c r="V9" i="38"/>
  <c r="P9" i="38" s="1"/>
  <c r="V92" i="38"/>
  <c r="P99" i="38" a="1"/>
  <c r="P99" i="38" s="1"/>
  <c r="P102" i="38" a="1"/>
  <c r="P102" i="38" s="1"/>
  <c r="P96" i="38" a="1"/>
  <c r="P96" i="38" s="1"/>
  <c r="P105" i="38" a="1"/>
  <c r="P105" i="38" s="1"/>
  <c r="P108" i="38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P97" i="38" a="1"/>
  <c r="P97" i="38" s="1"/>
  <c r="P94" i="38" a="1"/>
  <c r="P94" i="38" s="1"/>
  <c r="V101" i="38"/>
  <c r="P101" i="38" s="1" a="1"/>
  <c r="P101" i="38" s="1"/>
  <c r="P107" i="38" a="1"/>
  <c r="P107" i="38" s="1"/>
  <c r="V95" i="38"/>
  <c r="P95" i="38" s="1" a="1"/>
  <c r="P95" i="38" s="1"/>
  <c r="V104" i="38"/>
  <c r="P104" i="38" s="1" a="1"/>
  <c r="P104" i="38" s="1"/>
  <c r="P98" i="38" a="1"/>
  <c r="P98" i="38" s="1"/>
  <c r="P93" i="38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27" i="38" l="1"/>
  <c r="P427" i="38" s="1" a="1"/>
  <c r="P427" i="38" s="1"/>
  <c r="V120" i="38"/>
  <c r="P120" i="38" s="1" a="1"/>
  <c r="P120" i="38" s="1"/>
  <c r="V119" i="38" a="1"/>
  <c r="V119" i="38" s="1"/>
  <c r="P119" i="38" s="1" a="1"/>
  <c r="P119" i="38" s="1"/>
  <c r="V118" i="38"/>
  <c r="S118" i="38" s="1" a="1"/>
  <c r="S118" i="38" s="1"/>
  <c r="P92" i="38" a="1"/>
  <c r="P92" i="38" s="1"/>
  <c r="V477" i="38"/>
  <c r="P477" i="38" s="1" a="1"/>
  <c r="P477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09" i="38" s="1" a="1"/>
  <c r="W109" i="38" s="1"/>
  <c r="P109" i="38" s="1" a="1"/>
  <c r="P109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2" i="38" a="1"/>
  <c r="V2" i="38" s="1"/>
  <c r="V3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65" i="38" l="1" a="1"/>
  <c r="W65" i="38" s="1"/>
  <c r="P65" i="38" s="1" a="1"/>
  <c r="P65" i="38" s="1"/>
  <c r="P113" i="38" a="1"/>
  <c r="P113" i="38" s="1"/>
  <c r="T118" i="38" a="1"/>
  <c r="T118" i="38" s="1"/>
  <c r="R118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U118" i="38"/>
  <c r="Q118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P66" i="38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P112" i="38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S3" i="35" l="1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<sst xmlns="http://schemas.openxmlformats.org/spreadsheetml/2006/main" count="12253" uniqueCount="2153">
  <si>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</si>
  <si>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</si>
  <si>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</si>
  <si>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</si>
  <si>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</si>
  <si>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</si>
  <si>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</si>
  <si>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</si>
  <si>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</si>
  <si>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</si>
  <si>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</si>
  <si>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</si>
  <si>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</si>
  <si>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</si>
  <si>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</si>
  <si>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</si>
  <si>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</si>
  <si>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</si>
  <si>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</si>
  <si>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</si>
  <si>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</si>
  <si>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</si>
  <si>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</si>
  <si>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</si>
  <si>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</si>
  <si>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</si>
  <si>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</si>
  <si>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</si>
  <si>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</si>
  <si>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</si>
  <si>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</si>
  <si>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</si>
  <si>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</si>
  <si>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</si>
  <si>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</si>
  <si>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</si>
  <si>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</si>
  <si>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</si>
  <si>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</si>
  <si>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</si>
  <si>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</si>
  <si>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</si>
  <si>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</si>
  <si>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</si>
  <si>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</si>
  <si>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</si>
  <si>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</si>
  <si>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</si>
  <si>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</si>
  <si>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</si>
  <si>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</si>
  <si>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</si>
  <si>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</si>
  <si>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</si>
  <si>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</si>
  <si>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</si>
  <si>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</si>
  <si>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</si>
  <si>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</si>
  <si>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</si>
  <si>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</si>
  <si>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</si>
  <si>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</si>
  <si>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</si>
  <si>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</si>
  <si>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</si>
  <si>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</si>
  <si>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</si>
  <si>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</si>
  <si>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</si>
  <si>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</si>
  <si>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</si>
  <si>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</si>
  <si>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</si>
  <si>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</si>
  <si>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</si>
  <si>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</si>
  <si>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</si>
  <si>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</si>
  <si>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</si>
  <si>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</si>
  <si>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</si>
  <si>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</si>
  <si>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</si>
  <si>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</si>
  <si>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</si>
  <si>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</si>
  <si>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</si>
  <si>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</si>
  <si>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</si>
  <si>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</si>
  <si>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</si>
  <si>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</si>
  <si>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</si>
  <si>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</si>
  <si>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</si>
  <si>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</si>
  <si>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</si>
  <si>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</si>
  <si>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</si>
  <si>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</si>
  <si>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</si>
  <si>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</si>
  <si>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</si>
  <si>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</si>
  <si>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</si>
  <si>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</si>
  <si>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</si>
  <si>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</si>
  <si>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</si>
  <si>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</si>
  <si>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</si>
  <si>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</si>
  <si>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</si>
  <si>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</si>
  <si>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</si>
  <si>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</si>
  <si>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</si>
  <si>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</si>
  <si>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</si>
  <si>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</si>
  <si>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</si>
  <si>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</si>
  <si>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</si>
  <si>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</si>
  <si>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</si>
  <si>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</si>
  <si>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</si>
  <si>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</si>
  <si>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</si>
  <si>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</si>
  <si>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</si>
  <si>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</si>
  <si>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</si>
  <si>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</si>
  <si>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</si>
  <si>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</si>
  <si>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</si>
  <si>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</si>
  <si>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</si>
  <si>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</si>
  <si>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</si>
  <si>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</si>
  <si>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</si>
  <si>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</si>
  <si>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</si>
  <si>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</si>
  <si>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</si>
  <si>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</si>
  <si>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</si>
  <si>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</si>
  <si>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</si>
  <si>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</si>
  <si>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</si>
  <si>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</si>
  <si>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</si>
  <si>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</si>
  <si>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</si>
  <si>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</si>
  <si>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</si>
  <si>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</si>
  <si>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</si>
  <si>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</si>
  <si>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</si>
  <si>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</si>
  <si>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</si>
  <si>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</si>
  <si>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</si>
  <si>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</si>
  <si>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</si>
  <si>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</si>
  <si>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</si>
  <si>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</si>
  <si>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</si>
  <si>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</si>
  <si>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</si>
  <si>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</si>
  <si>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</si>
  <si>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</si>
  <si>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</si>
  <si>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</si>
  <si>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</si>
  <si>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</si>
  <si>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</si>
  <si>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</si>
  <si>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</si>
  <si>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</si>
  <si>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</si>
  <si>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</si>
  <si>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</si>
  <si>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</si>
  <si>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</si>
  <si>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</si>
  <si>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</si>
  <si>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</si>
  <si>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</si>
  <si>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</si>
  <si>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</si>
  <si>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</si>
  <si>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</si>
  <si>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</si>
  <si>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</si>
  <si>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</si>
  <si>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</si>
  <si>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</si>
  <si>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</si>
  <si>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</si>
  <si>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</si>
  <si>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</si>
  <si>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</si>
  <si>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</si>
  <si>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</si>
  <si>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</si>
  <si>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</si>
  <si>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</si>
  <si>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</si>
  <si>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</si>
  <si>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</si>
  <si>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</si>
  <si>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</si>
  <si>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</si>
  <si>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</si>
  <si>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</si>
  <si>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</si>
  <si>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</si>
  <si>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</si>
  <si>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</si>
  <si>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</si>
  <si>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</si>
  <si>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</si>
  <si>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</si>
  <si>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</si>
  <si>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</si>
  <si>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</si>
  <si>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</si>
  <si>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</si>
  <si>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</si>
  <si>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</si>
  <si>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</si>
  <si>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</si>
  <si>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</si>
  <si>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</si>
  <si>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</si>
  <si>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</si>
  <si>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</si>
  <si>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</si>
  <si>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</si>
  <si>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</si>
  <si>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</si>
  <si>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</si>
  <si>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</si>
  <si>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</si>
  <si>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</si>
  <si>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</si>
  <si>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</si>
  <si>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</si>
  <si>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</si>
  <si>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</si>
  <si>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</si>
  <si>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</si>
  <si>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</si>
  <si>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</si>
  <si>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</si>
  <si>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</si>
  <si>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</si>
  <si>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</si>
  <si>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</si>
  <si>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</si>
  <si>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</si>
  <si>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</si>
  <si>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</si>
  <si>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</si>
  <si>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</si>
  <si>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</si>
  <si>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</si>
  <si>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</si>
  <si>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</si>
  <si>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</si>
  <si>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</si>
  <si>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</si>
  <si>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</si>
  <si>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</si>
  <si>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</si>
  <si>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</si>
  <si>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</si>
  <si>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</si>
  <si>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</si>
  <si>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</si>
  <si>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</si>
  <si>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</si>
  <si>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</si>
  <si>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</si>
  <si>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</si>
  <si>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</si>
  <si>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</si>
  <si>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</si>
  <si>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</si>
  <si>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</si>
  <si>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</si>
  <si>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</si>
  <si>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</si>
  <si>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</si>
  <si>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</si>
  <si>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</si>
  <si>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</si>
  <si>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</si>
  <si>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</si>
  <si>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</si>
  <si>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</si>
  <si>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</si>
  <si>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</si>
  <si>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</si>
  <si>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</si>
  <si>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</si>
  <si>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</si>
  <si>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</si>
  <si>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</si>
  <si>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</si>
  <si>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</si>
  <si>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</si>
  <si>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</si>
  <si>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</si>
  <si>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</si>
  <si>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</si>
  <si>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</si>
  <si>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</si>
  <si>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</si>
  <si>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</si>
  <si>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</si>
  <si>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</si>
  <si>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</si>
  <si>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</si>
  <si>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</si>
  <si>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</si>
  <si>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</si>
  <si>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</si>
  <si>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</si>
  <si>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</si>
  <si>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</si>
  <si>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</si>
  <si>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</si>
  <si>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</si>
  <si>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</si>
  <si>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</si>
  <si>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</si>
  <si>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</si>
  <si>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</si>
  <si>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</si>
  <si>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</si>
  <si>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</si>
  <si>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</si>
  <si>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</si>
  <si>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</si>
  <si>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</si>
  <si>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</si>
  <si>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</si>
  <si>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</si>
  <si>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</si>
  <si>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</si>
  <si>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</si>
  <si>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</si>
  <si>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</si>
  <si>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</si>
  <si>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</si>
  <si>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</si>
  <si>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</si>
  <si>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</si>
  <si>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</si>
  <si>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</si>
  <si>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</si>
  <si>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</si>
  <si>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</si>
  <si>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</si>
  <si>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</si>
  <si>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</si>
  <si>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</si>
  <si>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</si>
  <si>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</si>
  <si>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</si>
  <si>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</si>
  <si>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</si>
  <si>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</si>
  <si>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</si>
  <si>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</si>
  <si>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</si>
  <si>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</si>
  <si>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</si>
  <si>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</si>
  <si>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</si>
  <si>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</si>
  <si>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</si>
  <si>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</si>
  <si>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</si>
  <si>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</si>
  <si>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</si>
  <si>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</si>
  <si>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</si>
  <si>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</si>
  <si>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</si>
  <si>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</si>
  <si>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</si>
  <si>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</si>
  <si>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</si>
  <si>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</si>
  <si>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</si>
  <si>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</si>
  <si>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</si>
  <si>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</si>
  <si>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</si>
  <si>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</si>
  <si>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</si>
  <si>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</si>
  <si>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</si>
  <si>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</si>
  <si>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</si>
  <si>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</si>
  <si>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</si>
  <si>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</si>
  <si>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</si>
  <si>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</si>
  <si>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</si>
  <si>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</si>
  <si>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</si>
  <si>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</si>
  <si>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</si>
  <si>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</si>
  <si>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</si>
  <si>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</si>
  <si>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</si>
  <si>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</si>
  <si>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</si>
  <si>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</si>
  <si>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</si>
  <si>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</si>
  <si>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</si>
  <si>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</si>
  <si>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</si>
  <si>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</si>
  <si>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</si>
  <si>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</si>
  <si>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</si>
  <si>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</si>
  <si>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</si>
  <si>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</si>
  <si>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</si>
  <si>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</si>
  <si>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</si>
  <si>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</si>
  <si>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</si>
  <si>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</si>
  <si>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</si>
  <si>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</si>
  <si>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</si>
  <si>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</si>
  <si>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</si>
  <si>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</si>
  <si>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</si>
  <si>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</si>
  <si>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</si>
  <si>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</si>
  <si>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</si>
  <si>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</si>
  <si>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</si>
  <si>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</si>
  <si>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</si>
  <si>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</si>
  <si>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</si>
  <si>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</si>
  <si>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</si>
  <si>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</si>
  <si>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</si>
  <si>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</si>
  <si>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</si>
  <si>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</si>
  <si>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</si>
  <si>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</si>
  <si>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</si>
  <si>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</si>
  <si>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</si>
  <si>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</si>
  <si>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</si>
  <si>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</si>
  <si>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</si>
  <si>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</si>
  <si>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</si>
  <si>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</si>
  <si>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</si>
  <si>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</si>
  <si>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</si>
  <si>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</si>
  <si>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</si>
  <si>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</si>
  <si>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</si>
  <si>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</si>
  <si>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</si>
  <si>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</si>
  <si>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</si>
  <si>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</si>
  <si>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</si>
  <si>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</si>
  <si>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</si>
  <si>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</si>
  <si>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</si>
  <si>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</si>
  <si>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</si>
  <si>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</si>
  <si>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</si>
  <si>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</si>
  <si>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</si>
  <si>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</si>
  <si>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</si>
  <si>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</si>
  <si>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</si>
  <si>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</si>
  <si>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</si>
  <si>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</si>
  <si>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</si>
  <si>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</si>
  <si>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</si>
  <si>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</si>
  <si>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</si>
  <si>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</si>
  <si>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</si>
  <si>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</si>
  <si>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</si>
  <si>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</si>
  <si>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</si>
  <si>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</si>
  <si>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</si>
  <si>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</si>
  <si>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</si>
  <si>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</si>
  <si>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</si>
  <si>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</si>
  <si>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</si>
  <si>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</si>
  <si>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</si>
  <si>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</si>
  <si>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</si>
  <si>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</si>
  <si>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</si>
  <si>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</si>
  <si>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</si>
  <si>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</si>
  <si>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</si>
  <si>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</si>
  <si>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</si>
  <si>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</si>
  <si>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</si>
  <si>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</si>
  <si>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</si>
  <si>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</si>
  <si>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</si>
  <si>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</si>
  <si>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</si>
  <si>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</si>
  <si>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</si>
  <si>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</si>
  <si>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</si>
  <si>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</si>
  <si>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</si>
  <si>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</si>
  <si>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</si>
  <si>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</si>
  <si>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</si>
  <si>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</si>
  <si>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</si>
  <si>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</si>
  <si>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</si>
  <si>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</si>
  <si>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</si>
  <si>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</si>
  <si>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</si>
  <si>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</si>
  <si>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</si>
  <si>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</si>
  <si>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</si>
  <si>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</si>
  <si>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</si>
  <si>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</si>
  <si>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</si>
  <si>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</si>
  <si>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</si>
  <si>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</si>
  <si>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</si>
  <si>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</si>
  <si>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</si>
  <si>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</si>
  <si>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</si>
  <si>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</si>
  <si>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</si>
  <si>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</si>
  <si>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</si>
  <si>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</si>
  <si>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</si>
  <si>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</si>
  <si>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</si>
  <si>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</si>
  <si>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</si>
  <si>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</si>
  <si>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</si>
  <si>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</si>
  <si>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</si>
  <si>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</si>
  <si>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</si>
  <si>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</si>
  <si>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</si>
  <si>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</si>
  <si>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</si>
  <si>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</si>
  <si>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</si>
  <si>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</si>
  <si>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</si>
  <si>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</si>
  <si>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</si>
  <si>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</si>
  <si>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</si>
  <si>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</si>
  <si>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</si>
  <si>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</si>
  <si>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</si>
  <si>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</si>
  <si>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</si>
  <si>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</si>
  <si>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</si>
  <si>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</si>
  <si>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</si>
  <si>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</si>
  <si>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</si>
  <si>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</si>
  <si>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</si>
  <si>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</si>
  <si>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</si>
  <si>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</si>
  <si>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</si>
  <si>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</si>
  <si>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</si>
  <si>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</si>
  <si>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</si>
  <si>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</si>
  <si>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</si>
  <si>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</si>
  <si>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</si>
  <si>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</si>
  <si>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</si>
  <si>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</si>
  <si>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</si>
  <si>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</si>
  <si>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</si>
  <si>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</si>
  <si>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</si>
  <si>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</si>
  <si>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</si>
  <si>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</si>
  <si>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</si>
  <si>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</si>
  <si>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</si>
  <si>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</si>
  <si>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</si>
  <si>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</si>
  <si>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</si>
  <si>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</si>
  <si>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</si>
  <si>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</si>
  <si>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</si>
  <si>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</si>
  <si>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</si>
  <si>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</si>
  <si>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</si>
  <si>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</si>
  <si>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</si>
  <si>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</si>
  <si>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</si>
  <si>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</si>
  <si>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</si>
  <si>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</si>
  <si>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</si>
  <si>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</si>
  <si>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</si>
  <si>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</si>
  <si>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</si>
  <si>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</si>
  <si>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</si>
  <si>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</si>
  <si>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</si>
  <si>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</si>
  <si>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</si>
  <si>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</si>
  <si>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</si>
  <si>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</si>
  <si>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</si>
  <si>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</si>
  <si>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</si>
  <si>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</si>
  <si>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</si>
  <si>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</si>
  <si>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</si>
  <si>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</si>
  <si>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</si>
  <si>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</si>
  <si>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</si>
  <si>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</si>
  <si>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</si>
  <si>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</si>
  <si>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</si>
  <si>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</si>
  <si>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</si>
  <si>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</si>
  <si>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</si>
  <si>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</si>
  <si>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</si>
  <si>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</si>
  <si>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</si>
  <si>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</si>
  <si>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</si>
  <si>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</si>
  <si>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</si>
  <si>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</si>
  <si>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</si>
  <si>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</si>
  <si>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</si>
  <si>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</si>
  <si>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</si>
  <si>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</si>
  <si>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</si>
  <si>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</si>
  <si>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</si>
  <si>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</si>
  <si>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</si>
  <si>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</si>
  <si>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</si>
  <si>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</si>
  <si>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</si>
  <si>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</si>
  <si>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</si>
  <si>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</si>
  <si>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</si>
  <si>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</si>
  <si>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</si>
  <si>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</si>
  <si>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</si>
  <si>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</si>
  <si>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</si>
  <si>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</si>
  <si>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</si>
  <si>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</si>
  <si>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</si>
  <si>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</si>
  <si>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</si>
  <si>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</si>
  <si>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</si>
  <si>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</si>
  <si>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</si>
  <si>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</si>
  <si>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</si>
  <si>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</si>
  <si>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</si>
  <si>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</si>
  <si>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</si>
  <si>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</si>
  <si>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</si>
  <si>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</si>
  <si>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</si>
  <si>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</si>
  <si>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</si>
  <si>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</si>
  <si>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</si>
  <si>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</si>
  <si>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</si>
  <si>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</si>
  <si>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</si>
  <si>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</si>
  <si>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</si>
  <si>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</si>
  <si>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</si>
  <si>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</si>
  <si>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</si>
  <si>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</si>
  <si>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</si>
  <si>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</si>
  <si>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</si>
  <si>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</si>
  <si>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</si>
  <si>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</si>
  <si>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</si>
  <si>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</si>
  <si>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</si>
  <si>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</si>
  <si>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</si>
  <si>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</si>
  <si>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</si>
  <si>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</si>
  <si>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</si>
  <si>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</si>
  <si>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</si>
  <si>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</si>
  <si>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</si>
  <si>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</si>
  <si>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</si>
  <si>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</si>
  <si>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</si>
  <si>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</si>
  <si>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</si>
  <si>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</si>
  <si>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</si>
  <si>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</si>
  <si>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</si>
  <si>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</si>
  <si>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</si>
  <si>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</si>
  <si>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</si>
  <si>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</si>
  <si>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</si>
  <si>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</si>
  <si>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</si>
  <si>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</si>
  <si>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</si>
  <si>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</si>
  <si>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</si>
  <si>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</si>
  <si>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</si>
  <si>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</si>
  <si>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</si>
  <si>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</si>
  <si>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</si>
  <si>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</si>
  <si>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</si>
  <si>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</si>
  <si>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</si>
  <si>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</si>
  <si>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</si>
  <si>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</si>
  <si>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</si>
  <si>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</si>
  <si>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</si>
  <si>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</si>
  <si>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</si>
  <si>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</si>
  <si>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</si>
  <si>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</si>
  <si>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</si>
  <si>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</si>
  <si>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</si>
  <si>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</si>
  <si>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</si>
  <si>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</si>
  <si>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</si>
  <si>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</si>
  <si>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</si>
  <si>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</si>
  <si>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</si>
  <si>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</si>
  <si>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</si>
  <si>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</si>
  <si>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</si>
  <si>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</si>
  <si>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</si>
  <si>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</si>
  <si>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</si>
  <si>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</si>
  <si>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</si>
  <si>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</si>
  <si>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</si>
  <si>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</si>
  <si>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</si>
  <si>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</si>
  <si>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</si>
  <si>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</si>
  <si>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</si>
  <si>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</si>
  <si>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</si>
  <si>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</si>
  <si>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</si>
  <si>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</si>
  <si>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</si>
  <si>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</si>
  <si>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</si>
  <si>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</si>
  <si>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</si>
  <si>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</si>
  <si>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</si>
  <si>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</si>
  <si>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</si>
  <si>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</si>
  <si>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</si>
  <si>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</si>
  <si>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</si>
  <si>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</si>
  <si>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</si>
  <si>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</si>
  <si>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</si>
  <si>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</si>
  <si>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</si>
  <si>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</si>
  <si>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</si>
  <si>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</si>
  <si>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</si>
  <si>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</si>
  <si>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</si>
  <si>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</si>
  <si>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</si>
  <si>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</si>
  <si>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</si>
  <si>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</si>
  <si>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</si>
  <si>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</si>
  <si>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</si>
  <si>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</si>
  <si>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</si>
  <si>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</si>
  <si>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</si>
  <si>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</si>
  <si>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</si>
  <si>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</si>
  <si>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</si>
  <si>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</si>
  <si>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</si>
  <si>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</si>
  <si>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</si>
  <si>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</si>
  <si>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</si>
  <si>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</si>
  <si>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</si>
  <si>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</si>
  <si>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</si>
  <si>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</si>
  <si>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</si>
  <si>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</si>
  <si>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</si>
  <si>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</si>
  <si>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</si>
  <si>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</si>
  <si>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</si>
  <si>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</si>
  <si>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</si>
  <si>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</si>
  <si>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</si>
  <si>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</si>
  <si>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</si>
  <si>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</si>
  <si>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</si>
  <si>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</si>
  <si>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</si>
  <si>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</si>
  <si>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</si>
  <si>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</si>
  <si>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</si>
  <si>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</si>
  <si>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</si>
  <si>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</si>
  <si>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</si>
  <si>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</si>
  <si>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</si>
  <si>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</si>
  <si>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</si>
  <si>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</si>
  <si>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</si>
  <si>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</si>
  <si>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</si>
  <si>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</si>
  <si>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</si>
  <si>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</si>
  <si>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</si>
  <si>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</si>
  <si>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</si>
  <si>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</si>
  <si>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</si>
  <si>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</si>
  <si>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</si>
  <si>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</si>
  <si>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</si>
  <si>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</si>
  <si>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</si>
  <si>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</si>
  <si>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</si>
  <si>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</si>
  <si>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</si>
  <si>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</si>
  <si>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</si>
  <si>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</si>
  <si>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</si>
  <si>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</si>
  <si>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</si>
  <si>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</si>
  <si>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</si>
  <si>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</si>
  <si>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</si>
  <si>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</si>
  <si>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</si>
  <si>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</si>
  <si>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</si>
  <si>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</si>
  <si>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</si>
  <si>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</si>
  <si>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</si>
  <si>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</si>
  <si>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</si>
  <si>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</si>
  <si>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</si>
  <si>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</si>
  <si>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</si>
  <si>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</si>
  <si>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</si>
  <si>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</si>
  <si>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</si>
  <si>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</si>
  <si>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</si>
  <si>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</si>
  <si>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</si>
  <si>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</si>
  <si>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</si>
  <si>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</si>
  <si>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</si>
  <si>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</si>
  <si>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</si>
  <si>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</si>
  <si>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</si>
  <si>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</si>
  <si>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</si>
  <si>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</si>
  <si>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</si>
  <si>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</si>
  <si>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</si>
  <si>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</si>
  <si>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</si>
  <si>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</si>
  <si>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</si>
  <si>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</si>
  <si>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</si>
  <si>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</si>
  <si>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</si>
  <si>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</si>
  <si>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</si>
  <si>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</si>
  <si>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</si>
  <si>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</si>
  <si>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</si>
  <si>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</si>
  <si>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</si>
  <si>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</si>
  <si>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</si>
  <si>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</si>
  <si>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</si>
  <si>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</si>
  <si>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</si>
  <si>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</si>
  <si>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</si>
  <si>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</si>
  <si>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</si>
  <si>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</si>
  <si>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</si>
  <si>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</si>
  <si>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</si>
  <si>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</si>
  <si>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</si>
  <si>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</si>
  <si>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</si>
  <si>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</si>
  <si>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</si>
  <si>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</si>
  <si>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</si>
  <si>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</si>
  <si>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</si>
  <si>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</si>
  <si>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</si>
  <si>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</si>
  <si>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</si>
  <si>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</si>
  <si>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</si>
  <si>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</si>
  <si>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</si>
  <si>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</si>
  <si>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</si>
  <si>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</si>
  <si>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</si>
  <si>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</si>
  <si>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</si>
  <si>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</si>
  <si>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</si>
  <si>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</si>
  <si>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</si>
  <si>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</si>
  <si>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</si>
  <si>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</si>
  <si>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</si>
  <si>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</si>
  <si>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</si>
  <si>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</si>
  <si>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</si>
  <si>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</si>
  <si>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</si>
  <si>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</si>
  <si>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</si>
  <si>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</si>
  <si>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</si>
  <si>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</si>
  <si>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</si>
  <si>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</si>
  <si>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</si>
  <si>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</si>
  <si>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</si>
  <si>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</si>
  <si>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</si>
  <si>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</si>
  <si>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</si>
  <si>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</si>
  <si>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</si>
  <si>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</si>
  <si>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</si>
  <si>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</si>
  <si>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</si>
  <si>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</si>
  <si>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</si>
  <si>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</si>
  <si>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</si>
  <si>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</si>
  <si>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</si>
  <si>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</si>
  <si>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</si>
  <si>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</si>
  <si>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</si>
  <si>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</si>
  <si>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</si>
  <si>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</si>
  <si>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</si>
  <si>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</si>
  <si>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</si>
  <si>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</si>
  <si>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</si>
  <si>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</si>
  <si>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</si>
  <si>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</si>
  <si>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</si>
  <si>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</si>
  <si>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</si>
  <si>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</si>
  <si>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</si>
  <si>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</si>
  <si>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</si>
  <si>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</si>
  <si>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</si>
  <si>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</si>
  <si>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</si>
  <si>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</si>
  <si>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</si>
  <si>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</si>
  <si>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</si>
  <si>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</si>
  <si>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</si>
  <si>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</si>
  <si>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</si>
  <si>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</si>
  <si>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</si>
  <si>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</si>
  <si>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</si>
  <si>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</si>
  <si>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</si>
  <si>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</si>
  <si>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</si>
  <si>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</si>
  <si>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</si>
  <si>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</si>
  <si>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</si>
  <si>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</si>
  <si>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</si>
  <si>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</si>
  <si>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</si>
  <si>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</si>
  <si>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</si>
  <si>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</si>
  <si>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</si>
  <si>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</si>
  <si>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</si>
  <si>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</si>
  <si>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</si>
  <si>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</si>
  <si>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</si>
  <si>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</si>
  <si>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</si>
  <si>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</si>
  <si>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</si>
  <si>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</si>
  <si>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</si>
  <si>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</si>
  <si>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</si>
  <si>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</si>
  <si>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</si>
  <si>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</si>
  <si>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</si>
  <si>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</si>
  <si>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</si>
  <si>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</si>
  <si>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</si>
  <si>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</si>
  <si>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</si>
  <si>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</si>
  <si>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</si>
  <si>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</si>
  <si>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</si>
  <si>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</si>
  <si>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</si>
  <si>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</si>
  <si>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</si>
  <si>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</si>
  <si>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</si>
  <si>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</si>
  <si>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</si>
  <si>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</si>
  <si>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</si>
  <si>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</si>
  <si>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</si>
  <si>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</si>
  <si>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</si>
  <si>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</si>
  <si>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</si>
  <si>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</si>
  <si>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</si>
  <si>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</si>
  <si>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</si>
  <si>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</si>
  <si>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</si>
  <si>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</si>
  <si>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</si>
  <si>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</si>
  <si>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</si>
  <si>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</si>
  <si>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</si>
  <si>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</si>
  <si>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</si>
  <si>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</si>
  <si>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</si>
  <si>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</si>
  <si>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</si>
  <si>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</si>
  <si>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</si>
  <si>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</si>
  <si>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</si>
  <si>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</si>
  <si>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</si>
  <si>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</si>
  <si>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</si>
  <si>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</si>
  <si>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</si>
  <si>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</si>
  <si>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</si>
  <si>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</si>
  <si>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</si>
  <si>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</si>
  <si>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</si>
  <si>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</si>
  <si>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</si>
  <si>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</si>
  <si>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</si>
  <si>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</si>
  <si>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</si>
  <si>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</si>
  <si>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</si>
  <si>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</si>
  <si>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</si>
  <si>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</si>
  <si>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</si>
  <si>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</si>
  <si>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</si>
  <si>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</si>
  <si>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</si>
  <si>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</si>
  <si>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</si>
  <si>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</si>
  <si>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</si>
  <si>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</si>
  <si>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</si>
  <si>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</si>
  <si>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</si>
  <si>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</si>
  <si>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</si>
  <si>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</si>
  <si>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</si>
  <si>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</si>
  <si>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</si>
  <si>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</si>
  <si>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</si>
  <si>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</si>
  <si>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</si>
  <si>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</si>
  <si>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</si>
  <si>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</si>
  <si>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</si>
  <si>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</si>
  <si>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</si>
  <si>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</si>
  <si>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</si>
  <si>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</si>
  <si>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</si>
  <si>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</si>
  <si>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</si>
  <si>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</si>
  <si>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</si>
  <si>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</si>
  <si>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</si>
  <si>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</si>
  <si>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</si>
  <si>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</si>
  <si>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</si>
  <si>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</si>
  <si>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</si>
  <si>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</si>
  <si>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</si>
  <si>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</si>
  <si>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</si>
  <si>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</si>
  <si>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</si>
  <si>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</si>
  <si>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</si>
  <si>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</si>
  <si>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</si>
  <si>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</si>
  <si>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</si>
  <si>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</si>
  <si>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</si>
  <si>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</si>
  <si>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</si>
  <si>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</si>
  <si>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</si>
  <si>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</si>
  <si>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</si>
  <si>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</si>
  <si>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</si>
  <si>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</si>
  <si>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</si>
  <si>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</si>
  <si>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</si>
  <si>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</si>
  <si>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</si>
  <si>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</si>
  <si>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</si>
  <si>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</si>
  <si>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</si>
  <si>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</si>
  <si>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</si>
  <si>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</si>
  <si>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</si>
  <si>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</si>
  <si>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</si>
  <si>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</si>
  <si>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</si>
  <si>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</si>
  <si>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</si>
  <si>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</si>
  <si>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</si>
  <si>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</si>
  <si>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</si>
  <si>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</si>
  <si>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</si>
  <si>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</si>
  <si>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</si>
  <si>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</si>
  <si>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</si>
  <si>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</si>
  <si>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</si>
  <si>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</si>
  <si>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</si>
  <si>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</si>
  <si>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</si>
  <si>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</si>
  <si>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</si>
  <si>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</si>
  <si>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</si>
  <si>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</si>
  <si>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</si>
  <si>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</si>
  <si>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</si>
  <si>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</si>
  <si>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</si>
  <si>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</si>
  <si>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</si>
  <si>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</si>
  <si>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</si>
  <si>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</si>
  <si>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</si>
  <si>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</si>
  <si>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</si>
  <si>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</si>
  <si>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</si>
  <si>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</si>
  <si>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</si>
  <si>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</si>
  <si>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</si>
  <si>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</si>
  <si>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</si>
  <si>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</si>
  <si>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</si>
  <si>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</si>
  <si>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</si>
  <si>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</si>
  <si>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</si>
  <si>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</si>
  <si>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</si>
  <si>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</si>
  <si>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</si>
  <si>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</si>
  <si>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</si>
  <si>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</si>
  <si>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</si>
  <si>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</si>
  <si>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</si>
  <si>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</si>
  <si>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</si>
  <si>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</si>
  <si>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</si>
  <si>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</si>
  <si>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</si>
  <si>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</si>
  <si>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</si>
  <si>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</si>
  <si>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</si>
  <si>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</si>
  <si>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</si>
  <si>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</si>
  <si>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</si>
  <si>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</si>
  <si>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</si>
  <si>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</si>
  <si>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</si>
  <si>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</si>
  <si>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</si>
  <si>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</si>
  <si>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</si>
  <si>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</si>
  <si>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</si>
  <si>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</si>
  <si>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</si>
  <si>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</si>
  <si>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</si>
  <si>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</si>
  <si>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</si>
  <si>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</si>
  <si>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</si>
  <si>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</si>
  <si>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</si>
  <si>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</si>
  <si>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</si>
  <si>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</si>
  <si>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</si>
  <si>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</si>
  <si>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</si>
  <si>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</si>
  <si>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</si>
  <si>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</si>
  <si>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</si>
  <si>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</si>
  <si>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</si>
  <si>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</si>
  <si>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</si>
  <si>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</si>
  <si>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</si>
  <si>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</si>
  <si>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</si>
  <si>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</si>
  <si>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</si>
  <si>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</si>
  <si>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</si>
  <si>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</si>
  <si>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</si>
  <si>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</si>
  <si>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</si>
  <si>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</si>
  <si>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</si>
  <si>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</si>
  <si>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</si>
  <si>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</si>
  <si>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</si>
  <si>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</si>
  <si>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</si>
  <si>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</si>
  <si>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</si>
  <si>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</si>
  <si>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</si>
  <si>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</si>
  <si>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</si>
  <si>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</si>
  <si>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</si>
  <si>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</si>
  <si>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</si>
  <si>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</si>
  <si>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</si>
  <si>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</si>
  <si>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</si>
  <si>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</si>
  <si>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</si>
  <si>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</si>
  <si>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</si>
  <si>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</si>
  <si>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</si>
  <si>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</si>
  <si>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</si>
  <si>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</si>
  <si>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</si>
  <si>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</si>
  <si>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</si>
  <si>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</si>
  <si>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</si>
  <si>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</si>
  <si>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</si>
  <si>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</si>
  <si>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</si>
  <si>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</si>
  <si>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</si>
  <si>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</si>
  <si>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</si>
  <si>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</si>
  <si>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</si>
  <si>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</si>
  <si>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</si>
  <si>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</si>
  <si>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</si>
  <si>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</si>
  <si>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</si>
  <si>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</si>
  <si>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</si>
  <si>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</si>
  <si>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</si>
  <si>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</si>
  <si>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</si>
  <si>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</si>
  <si>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</si>
  <si>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</si>
  <si>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</si>
  <si>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</si>
  <si>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</si>
  <si>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</si>
  <si>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</si>
  <si>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</si>
  <si>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</si>
  <si>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</si>
  <si>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</si>
  <si>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</si>
  <si>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</si>
  <si>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</si>
  <si>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</si>
  <si>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</si>
  <si>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</si>
  <si>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</si>
  <si>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</si>
  <si>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</si>
  <si>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</si>
  <si>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</si>
  <si>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</si>
  <si>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</si>
  <si>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</si>
  <si>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</si>
  <si>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</si>
  <si>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</si>
  <si>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</si>
  <si>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</si>
  <si>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</si>
  <si>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</si>
  <si>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</si>
  <si>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</si>
  <si>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</si>
  <si>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</si>
  <si>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</si>
  <si>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</si>
  <si>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</si>
  <si>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</si>
  <si>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</si>
  <si>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</si>
  <si>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</si>
  <si>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</si>
  <si>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</si>
  <si>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</si>
  <si>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</si>
  <si>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</si>
  <si>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</si>
  <si>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</si>
  <si>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</si>
  <si>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</si>
  <si>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</si>
  <si>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</si>
  <si>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</si>
  <si>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</si>
  <si>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</si>
  <si>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</si>
  <si>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</si>
  <si>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</si>
  <si>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</si>
  <si>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</si>
  <si>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</si>
  <si>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</si>
  <si>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</si>
  <si>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</si>
  <si>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</si>
  <si>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</si>
  <si>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</si>
  <si>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</si>
  <si>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</si>
  <si>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</si>
  <si>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</si>
  <si>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</si>
  <si>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</si>
  <si>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</si>
  <si>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</si>
  <si>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</si>
  <si>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</si>
  <si>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</si>
  <si>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</si>
  <si>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</si>
  <si>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</si>
  <si>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</si>
  <si>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</si>
  <si>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</si>
  <si>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</si>
  <si>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</si>
  <si>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</si>
  <si>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</si>
  <si>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</si>
  <si>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</si>
  <si>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</si>
  <si>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</si>
  <si>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</si>
  <si>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</si>
  <si>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</si>
  <si>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</si>
  <si>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</si>
  <si>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</si>
  <si>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</si>
  <si>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</si>
  <si>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</si>
  <si>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</si>
  <si>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</si>
  <si>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</si>
  <si>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</si>
  <si>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</si>
  <si>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</si>
  <si>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</si>
  <si>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</si>
  <si>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</si>
  <si>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</si>
  <si>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</si>
  <si>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</si>
  <si>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</si>
  <si>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</si>
  <si>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</si>
  <si>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</si>
  <si>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</si>
  <si>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</si>
  <si>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</si>
  <si>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</si>
  <si>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</si>
  <si>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</si>
  <si>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</si>
  <si>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</si>
  <si>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</si>
  <si>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</si>
  <si>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</si>
  <si>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</si>
  <si>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</si>
  <si>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</si>
  <si>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</si>
  <si>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</si>
  <si>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</si>
  <si>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</si>
  <si>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</si>
  <si>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</si>
  <si>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</si>
  <si>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</si>
  <si>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</si>
  <si>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</si>
  <si>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</si>
  <si>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</si>
  <si>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</si>
  <si>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</si>
  <si>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</si>
  <si>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</si>
  <si>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</si>
  <si>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</si>
  <si>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</si>
  <si>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</si>
  <si>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</si>
  <si>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</si>
  <si>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</si>
  <si>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</si>
  <si>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</si>
  <si>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</si>
  <si>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</si>
  <si>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</si>
  <si>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</si>
  <si>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</si>
  <si>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</si>
  <si>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</si>
  <si>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</si>
  <si>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</si>
  <si>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</si>
  <si>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</si>
  <si>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</si>
  <si>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</si>
  <si>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</si>
  <si>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</si>
  <si>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</si>
  <si>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</si>
  <si>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</si>
  <si>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</si>
  <si>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</si>
  <si>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</si>
  <si>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</si>
  <si>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</si>
  <si>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</si>
  <si>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</si>
  <si>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</si>
  <si>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</si>
  <si>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</si>
  <si>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</si>
  <si>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</si>
  <si>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</si>
  <si>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</si>
  <si>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</si>
  <si>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</si>
  <si>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</si>
  <si>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</si>
  <si>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</si>
  <si>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</si>
  <si>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</si>
  <si>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</si>
  <si>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</si>
  <si>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</si>
  <si>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</si>
  <si>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</si>
  <si>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</si>
  <si>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</si>
  <si>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</si>
  <si>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</si>
  <si>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</si>
  <si>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</si>
  <si>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</si>
  <si>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</si>
  <si>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</si>
  <si>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</si>
  <si>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</si>
  <si>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</si>
  <si>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</si>
  <si>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</si>
  <si>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</si>
  <si>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</si>
  <si>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</si>
  <si>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</si>
  <si>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</si>
  <si>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</si>
  <si>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</si>
  <si>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</si>
  <si>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</si>
  <si>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</si>
  <si>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</si>
  <si>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</si>
  <si>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</si>
  <si>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</si>
  <si>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</si>
  <si>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</si>
  <si>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</si>
  <si>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</si>
  <si>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</si>
  <si>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</si>
  <si>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</si>
  <si>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</si>
  <si>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</si>
  <si>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</si>
  <si>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</si>
  <si>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</si>
  <si>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</si>
  <si>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</si>
  <si>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</si>
  <si>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</si>
  <si>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</si>
  <si>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</si>
  <si>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</si>
  <si>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</si>
  <si>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</si>
  <si>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</si>
  <si>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</si>
  <si>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</si>
  <si>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</si>
  <si>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</si>
  <si>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</si>
  <si>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</si>
  <si>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</si>
  <si>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</si>
  <si>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</si>
  <si>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</si>
  <si>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</si>
  <si>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</si>
  <si>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</si>
  <si>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</si>
  <si>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</si>
  <si>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</si>
  <si>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</si>
  <si>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</si>
  <si>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</si>
  <si>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</si>
  <si>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</si>
  <si>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</si>
  <si>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</si>
  <si>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</si>
  <si>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</si>
  <si>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</si>
  <si>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</si>
  <si>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</si>
  <si>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</si>
  <si>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</si>
  <si>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</si>
  <si>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</si>
  <si>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</si>
  <si>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</si>
  <si>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</si>
  <si>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</si>
  <si>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</si>
  <si>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</si>
  <si>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</si>
  <si>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</si>
  <si>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</si>
  <si>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</si>
  <si>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</si>
  <si>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</si>
  <si>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</si>
  <si>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</si>
  <si>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</si>
  <si>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</si>
  <si>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</si>
  <si>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</si>
  <si>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</si>
  <si>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</si>
  <si>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</si>
  <si>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</si>
  <si>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</si>
  <si>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</si>
  <si>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</si>
  <si>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</si>
  <si>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</si>
  <si>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</si>
  <si>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</si>
  <si>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</si>
  <si>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</si>
  <si>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</si>
  <si>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</si>
  <si>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</si>
  <si>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</si>
  <si>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</si>
  <si>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</si>
  <si>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</si>
  <si>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</si>
  <si>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</si>
  <si>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</si>
  <si>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</si>
  <si>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</si>
  <si>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</si>
  <si>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</si>
  <si>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</si>
  <si>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</si>
  <si>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</si>
  <si>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</si>
  <si>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</si>
  <si>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</si>
  <si>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</si>
  <si>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</si>
  <si>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</si>
  <si>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</si>
  <si>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</si>
  <si>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</si>
  <si>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</si>
  <si>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</si>
  <si>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</si>
  <si>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</si>
  <si>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</si>
  <si>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</si>
  <si>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</si>
  <si>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</si>
  <si>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</si>
  <si>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</si>
  <si>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</si>
  <si>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</si>
  <si>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</si>
  <si>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</si>
  <si>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</si>
  <si>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</si>
  <si>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</si>
  <si>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</si>
  <si>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</si>
  <si>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</si>
  <si>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</si>
  <si>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</si>
  <si>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</si>
  <si>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</si>
  <si>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</si>
  <si>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</si>
  <si>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</si>
  <si>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</si>
  <si>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</si>
  <si>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</si>
  <si>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</si>
  <si>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</si>
  <si>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</si>
  <si>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</si>
  <si>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</si>
  <si>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</si>
  <si>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</si>
  <si>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</si>
  <si>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</si>
  <si>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</si>
  <si>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</si>
  <si>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</si>
  <si>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</si>
  <si>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</si>
  <si>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</si>
  <si>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</si>
  <si>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</si>
  <si>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</si>
  <si>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</si>
  <si>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</si>
  <si>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</si>
  <si>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</si>
  <si>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</si>
  <si>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</si>
  <si>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</si>
  <si>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</si>
  <si>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</si>
  <si>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</si>
  <si>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</si>
  <si>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</si>
  <si>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</si>
  <si>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</si>
  <si>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</si>
  <si>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</si>
  <si>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</si>
  <si>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</si>
  <si>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</si>
  <si>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</si>
  <si>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</si>
  <si>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</si>
  <si>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</si>
  <si>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</si>
  <si>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</si>
  <si>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</si>
  <si>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</si>
  <si>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</si>
  <si>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</si>
  <si>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</si>
  <si>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</si>
  <si>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</si>
  <si>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</si>
  <si>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</si>
  <si>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</si>
  <si>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</si>
  <si>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</si>
  <si>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</si>
  <si>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</si>
  <si>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</si>
  <si>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</si>
  <si>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</si>
  <si>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</si>
  <si>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</si>
  <si>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</si>
  <si>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</si>
  <si>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</si>
  <si>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</si>
  <si>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</si>
  <si>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</si>
  <si>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</si>
  <si>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</si>
  <si>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</si>
  <si>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</si>
  <si>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</si>
  <si>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</si>
  <si>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</si>
  <si>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</si>
  <si>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</si>
  <si>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</si>
  <si>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</si>
  <si>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</si>
  <si>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</si>
  <si>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</si>
  <si>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</si>
  <si>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</si>
  <si>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</si>
  <si>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</si>
  <si>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</si>
  <si>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</si>
  <si>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</si>
  <si>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</si>
  <si>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</si>
  <si>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</si>
  <si>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</si>
  <si>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</si>
  <si>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</si>
  <si>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</si>
  <si>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</si>
  <si>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</si>
  <si>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</si>
  <si>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</si>
  <si>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</si>
  <si>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</si>
  <si>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</si>
  <si>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</si>
  <si>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</si>
  <si>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</si>
  <si>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</si>
  <si>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</si>
  <si>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</si>
  <si>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</si>
  <si>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</si>
  <si>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</si>
  <si>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</si>
  <si>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</si>
  <si>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</si>
  <si>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</si>
  <si>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</si>
  <si>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</si>
  <si>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</si>
  <si>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</si>
  <si>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</si>
  <si>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</si>
  <si>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</si>
  <si>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</si>
  <si>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</si>
  <si>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</si>
  <si>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</si>
  <si>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</si>
  <si>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</si>
  <si>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</si>
  <si>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</si>
  <si>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</si>
  <si>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</si>
  <si>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</si>
  <si>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</si>
  <si>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</si>
  <si>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</si>
  <si>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</si>
  <si>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</si>
  <si>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</si>
  <si>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</si>
  <si>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</si>
  <si>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</si>
  <si>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</si>
  <si>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</si>
  <si>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</si>
  <si>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</si>
  <si>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</si>
  <si>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</si>
  <si>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</si>
  <si>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</si>
  <si>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</si>
  <si>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</si>
  <si>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</si>
  <si>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</si>
  <si>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</si>
  <si>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</si>
  <si>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</si>
  <si>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</si>
  <si>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</si>
  <si>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</si>
  <si>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</si>
  <si>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</si>
  <si>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</si>
  <si>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</si>
  <si>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</si>
  <si>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</si>
  <si>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</si>
  <si>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</si>
  <si>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</si>
  <si>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</si>
  <si>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</si>
  <si>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</si>
  <si>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</si>
  <si>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</si>
  <si>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</si>
  <si>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</si>
  <si>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</si>
  <si>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</si>
  <si>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</si>
  <si>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</si>
  <si>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</si>
  <si>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</si>
  <si>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</si>
  <si>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</si>
  <si>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</si>
  <si>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</si>
  <si>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</si>
  <si>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</si>
  <si>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</si>
  <si>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</si>
  <si>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</si>
  <si>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</si>
  <si>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</si>
  <si>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</si>
  <si>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</si>
  <si>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</si>
  <si>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</si>
  <si>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</si>
  <si>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</si>
  <si>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</si>
  <si>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</si>
  <si>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</si>
  <si>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</si>
  <si>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</si>
  <si>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</si>
  <si>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</si>
  <si>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</si>
  <si>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</si>
  <si>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</si>
  <si>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</si>
  <si>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</si>
  <si>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</si>
  <si>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</si>
  <si>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</si>
  <si>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</si>
  <si>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</si>
  <si>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</si>
  <si>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</si>
  <si>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</si>
  <si>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</si>
  <si>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</si>
  <si>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</si>
  <si>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</si>
  <si>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</si>
  <si>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</si>
  <si>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</si>
  <si>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</si>
  <si>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</si>
  <si>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</si>
  <si>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</si>
  <si>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</si>
  <si>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</si>
  <si>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</si>
  <si>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</si>
  <si>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</si>
  <si>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</si>
  <si>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</si>
  <si>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</si>
  <si>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</si>
  <si>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</si>
  <si>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</si>
  <si>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</si>
  <si>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</si>
  <si>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</si>
  <si>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</si>
  <si>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</si>
  <si>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</si>
  <si>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</si>
  <si>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</si>
  <si>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</si>
  <si>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</si>
  <si>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</si>
  <si>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</si>
  <si>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</si>
  <si>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</si>
  <si>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</si>
  <si>
    <t>▼ [Fix - Casement]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</si>
</sst>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23" sqref="A23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>10ftW X 7ftH  Aluminium &amp; Glass Standard  Panel Supply &amp; Delivery Casement Window Standard W/G Z-Louvre Blade - 2" 12-Box Lattice ▼ [Fix - Casement]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10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7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10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70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403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3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1814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1969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2086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 t="s">
        <v>2152</v>
      </c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 t="s">
        <v>1866</v>
      </c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195.97200000000001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#DIV/0!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#DIV/0!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zoomScale="70" zoomScaleNormal="70" workbookViewId="0">
      <selection activeCell="W5" sqref="W5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1" width="9.140625" style="1"/>
    <col min="22" max="22" width="10" style="1" bestFit="1" customWidth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3.68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530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2.94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27.105714285714289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230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8.64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6.32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28.388571428571428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4.05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418" t="s">
        <v>254</v>
      </c>
      <c r="B61" s="414" t="s">
        <v>1845</v>
      </c>
      <c r="C61" s="414" t="s">
        <v>3</v>
      </c>
      <c r="D61" s="414" t="s">
        <v>1791</v>
      </c>
      <c r="E61" s="414" t="str" cm="1">
        <f t="array" ref="E61:E70">IFERROR(INDEX(_xlfn._xlws.FILTER(CostData!$P$3:$P$12,CostData!$P$3:$P$12&lt;&gt;""),_xlfn.SEQUENCE(10)),"")</f>
        <v>Default</v>
      </c>
      <c r="F61" s="414"/>
      <c r="G61" s="414" t="str">
        <f>"▼ [Fix - Casement]"</f>
        <v>▼ [Fix - Casement]</v>
      </c>
      <c r="H61" s="414" t="str">
        <f>"▼ [Hung Window - Casement]"</f>
        <v>▼ [Hung Window - Casement]</v>
      </c>
      <c r="I61" s="414" t="s">
        <v>1857</v>
      </c>
      <c r="J61" s="414" t="s">
        <v>1858</v>
      </c>
      <c r="K61" s="414" t="s">
        <v>1859</v>
      </c>
      <c r="L61" s="414" t="s">
        <v>1860</v>
      </c>
      <c r="M61" s="419">
        <v>0.54649999999999999</v>
      </c>
      <c r="N61" s="414">
        <v>609.6</v>
      </c>
      <c r="O61" s="414"/>
      <c r="P61" s="408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>61</v>
      </c>
      <c r="Q61" s="408" t="str" cm="1">
        <f t="array" ref="Q61">_xlfn.LET(_xlpm.cd,INDEX($S:$S,ROW()),IF(_xlpm.cd="","",IFERROR(_xlfn.XLOOKUP(_xlpm.cd,CostData!$C$22:$C$1000,CostData!$B$22:$B$1000,""),"")))</f>
        <v>Aluminium</v>
      </c>
      <c r="R61" s="424" t="s">
        <v>1811</v>
      </c>
      <c r="S61" s="416" t="s">
        <v>1924</v>
      </c>
      <c r="T61" s="408" t="str" cm="1">
        <f t="array" ref="T61">_xlfn.LET(_xlpm.cd,INDEX($S:$S,ROW()),IF(_xlpm.cd="","",IFERROR(_xlfn.XLOOKUP(_xlpm.cd,CostData!$C$22:$C$1000,CostData!$E$22:$E$1000,""),"")))</f>
        <v>Outer</v>
      </c>
      <c r="U61" s="408" t="s">
        <v>103</v>
      </c>
      <c r="V61" s="408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61" s="420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5.86</v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G62" s="369" t="s">
        <v>1865</v>
      </c>
      <c r="H62" s="369" t="s">
        <v>1865</v>
      </c>
      <c r="P62" s="408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7.32</v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G63" s="369" t="s">
        <v>1866</v>
      </c>
      <c r="H63" s="369" t="s">
        <v>1866</v>
      </c>
      <c r="P63" s="408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7.74</v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G64" s="369" t="s">
        <v>1867</v>
      </c>
      <c r="H64" s="369" t="s">
        <v>1867</v>
      </c>
      <c r="P64" s="1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>64</v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>20</v>
      </c>
      <c r="W64" s="399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7.74</v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397" t="str">
        <f>S65</f>
        <v>12-Box Lattice</v>
      </c>
      <c r="S65" s="429" t="str">
        <f>Enginuity!$A$21</f>
        <v>12-Box Lattice</v>
      </c>
      <c r="T65" s="397" t="str">
        <f>S65</f>
        <v>12-Box Lattice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399" t="str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T66</f>
        <v/>
      </c>
      <c r="S66" s="427" t="str">
        <f>G61</f>
        <v>▼ [Fix - Casement]</v>
      </c>
      <c r="T66" s="1" t="str">
        <f>_xlfn.LET(_xlpm.x,TRIM(Enginuity!$A$22),IF(OR(_xlpm.x="",LEFT(_xlpm.x,1)="▼"),"",_xlpm.x&amp;" Fix Window"))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R67" s="16" t="str">
        <f>T67</f>
        <v>Top + Bottom Top Hung</v>
      </c>
      <c r="S67" s="427" t="str">
        <f>H61</f>
        <v>▼ [Hung Window - Casement]</v>
      </c>
      <c r="T67" s="1" t="str">
        <f>_xlfn.LET(_xlpm.x,TRIM(Enginuity!$A$23),IF(OR(_xlpm.x="",LEFT(_xlpm.x,1)="▼"),"",_xlpm.x&amp;" Top Hung"))</f>
        <v>Top + Bottom Top Hung</v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F71" s="369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F72" s="369" t="s">
        <v>2085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F73" s="369" t="s">
        <v>2086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F74" s="369" t="s">
        <v>2087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>77</v>
      </c>
      <c r="Q77" s="1" t="s">
        <v>1832</v>
      </c>
      <c r="R77" s="16" t="str">
        <f>IF($T77="","","⬒ "&amp;$T77)</f>
        <v>⬒ Z-Louvre Blade - 2"</v>
      </c>
      <c r="T77" s="1" t="str">
        <f>IF(Enginuity!$A$20="","",Enginuity!$A$20)</f>
        <v>Z-Louvre Blade - 2"</v>
      </c>
      <c r="U77" s="1" t="s">
        <v>121</v>
      </c>
      <c r="V77" s="1">
        <f>IF(Enginuity!$B$9="","",Enginuity!$B$9)</f>
        <v>70</v>
      </c>
      <c r="W77" s="399">
        <f>IFERROR(INDEX(CostData!$Q$3:$Q$12,MATCH(TRIM(Enginuity!$A$20),CostData!$P$3:$P$12,0)),"")</f>
        <v>27.105714285714289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e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e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>#VALUE!</v>
      </c>
      <c r="W83" s="399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399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4.5</v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86" spans="1:23" x14ac:dyDescent="0.25">
      <c r="A86" s="274" t="s">
        <v>254</v>
      </c>
      <c r="C86" s="369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399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87" spans="1:23" x14ac:dyDescent="0.25">
      <c r="A87" s="274" t="s">
        <v>254</v>
      </c>
      <c r="C87" s="369" t="s">
        <v>3</v>
      </c>
      <c r="P87" s="1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>87</v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70</v>
      </c>
      <c r="W87" s="399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88" spans="1:23" x14ac:dyDescent="0.25">
      <c r="A88" s="274" t="s">
        <v>254</v>
      </c>
      <c r="C88" s="369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399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89" spans="1:23" x14ac:dyDescent="0.25">
      <c r="A89" s="274" t="s">
        <v>254</v>
      </c>
      <c r="C89" s="369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399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0" spans="1:23" x14ac:dyDescent="0.25">
      <c r="A90" s="274" t="s">
        <v>254</v>
      </c>
      <c r="C90" s="369" t="s">
        <v>3</v>
      </c>
      <c r="P90" s="1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1" t="str">
        <f>IF($S90="","",IFERROR(_xlfn.XLOOKUP($S90,CostData!$U$22:$U$1000,CostData!$T$22:$T$1000,""),""))</f>
        <v>Gasket</v>
      </c>
      <c r="R90" s="16" t="s">
        <v>1931</v>
      </c>
      <c r="S90" s="24">
        <v>6154</v>
      </c>
      <c r="T90" s="1" t="str" cm="1">
        <f t="array" ref="T90">_xlfn.LET(_xlpm.cd,INDEX($S:$S,ROW()),IF(_xlpm.cd="","",IFERROR(_xlfn.XLOOKUP(_xlpm.cd,CostData!$U$22:$U$1000,CostData!$W$22:$W$1000,""),"")))</f>
        <v>6154 Gasket</v>
      </c>
      <c r="U90" s="1" t="str">
        <f>IF($S90="","",IFERROR(_xlfn.XLOOKUP($S90,CostData!$U$22:$U$1000,CostData!$AA$22:$AA$1000,""),""))</f>
        <v>Ft</v>
      </c>
      <c r="V90" s="1" t="e">
        <f>IF(SUM($V$63:$V$64)=0,"",SUM($V$63:$V$64)*2)</f>
        <v>#VALUE!</v>
      </c>
      <c r="W90" s="399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/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M92" s="410">
        <v>0.01</v>
      </c>
      <c r="N92" s="369">
        <v>1500</v>
      </c>
      <c r="O92" s="369" t="s">
        <v>1956</v>
      </c>
      <c r="P92" s="1" t="str" cm="1">
        <f t="array" ref="P9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M93" s="410">
        <v>0.02</v>
      </c>
      <c r="N93" s="369">
        <v>914.4</v>
      </c>
      <c r="O93" s="369" t="s">
        <v>1957</v>
      </c>
      <c r="P93" s="1" t="str" cm="1">
        <f t="array" ref="P9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M94" s="410">
        <v>0.03</v>
      </c>
      <c r="N94" s="369">
        <v>914.4</v>
      </c>
      <c r="O94" s="369" t="s">
        <v>1958</v>
      </c>
      <c r="P94" s="1" t="str" cm="1">
        <f t="array" ref="P9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0.04</v>
      </c>
      <c r="N95" s="369">
        <v>914.4</v>
      </c>
      <c r="O95" s="369" t="s">
        <v>1959</v>
      </c>
      <c r="P95" s="1" t="str" cm="1">
        <f t="array" ref="P9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0.05</v>
      </c>
      <c r="N96" s="369">
        <v>1000</v>
      </c>
      <c r="O96" s="369" t="s">
        <v>1967</v>
      </c>
      <c r="P96" s="1" t="str" cm="1">
        <f t="array" ref="P9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_xlfn.LET(_xlpm.w,Enginuity!$B$6,_xlpm.h,Enginuity!$B$7,_xlpm.tot,IF(_xlpm.h&gt;12,"MAX 12FT",IF(_xlpm.h&gt;8,_xlpm.w,0)),IF(_xlpm.tot=0,"",_xlpm.tot))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0.06</v>
      </c>
      <c r="N97" s="369">
        <v>1000</v>
      </c>
      <c r="O97" s="369" t="s">
        <v>1968</v>
      </c>
      <c r="P97" s="1" t="str" cm="1">
        <f t="array" ref="P9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C101" s="369" t="s">
        <v>1989</v>
      </c>
      <c r="F101" s="369" t="str">
        <f>"▼ [Lattice Option]"</f>
        <v>▼ [Lattice Option]</v>
      </c>
      <c r="P101" s="1" t="str" cm="1">
        <f t="array" ref="P10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C102" s="369" t="s">
        <v>1989</v>
      </c>
      <c r="F102" s="369" t="s">
        <v>2085</v>
      </c>
      <c r="P102" s="1" t="str" cm="1">
        <f t="array" ref="P10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C103" s="369" t="s">
        <v>1989</v>
      </c>
      <c r="F103" s="369" t="s">
        <v>2086</v>
      </c>
      <c r="P103" s="1" t="str" cm="1">
        <f t="array" ref="P10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C104" s="369" t="s">
        <v>1989</v>
      </c>
      <c r="F104" s="369" t="s">
        <v>2087</v>
      </c>
      <c r="P104" s="1" t="str" cm="1">
        <f t="array" ref="P10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C105" s="369" t="s">
        <v>1989</v>
      </c>
      <c r="P105" s="1" t="str" cm="1">
        <f t="array" ref="P10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C106" s="369" t="s">
        <v>1989</v>
      </c>
      <c r="P106" s="1" t="str" cm="1">
        <f t="array" ref="P10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C107" s="369" t="s">
        <v>1989</v>
      </c>
      <c r="P107" s="1" t="str" cm="1">
        <f t="array" ref="P10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C108" s="369" t="s">
        <v>1989</v>
      </c>
      <c r="P108" s="1" t="str" cm="1">
        <f t="array" ref="P10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09" s="1" t="s">
        <v>762</v>
      </c>
      <c r="R109" s="397" t="str">
        <f>S109</f>
        <v>12-Box Lattice</v>
      </c>
      <c r="S109" s="429" t="str">
        <f>Enginuity!$A$21</f>
        <v>12-Box Lattice</v>
      </c>
      <c r="T109" s="397" t="str">
        <f>S109</f>
        <v>12-Box Lattice</v>
      </c>
      <c r="U109" s="1" t="s">
        <v>176</v>
      </c>
      <c r="V109" s="1" cm="1">
        <f t="array" ref="V109">_xlfn.LET(_xlpm.vSel,TRIM(SUBSTITUTE(Enginuity!$A$21,CHAR(160)," ")),_xlpm.vCode,TRIM(SUBSTITUTE(INDEX(S:S,ROW()),CHAR(160)," ")),IF(AND(_xlpm.vSel&lt;&gt;"",_xlpm.vCode&lt;&gt;"",_xlpm.vSel=_xlpm.vCode),1,""))</f>
        <v>1</v>
      </c>
      <c r="W109" s="399" t="str" cm="1">
        <f t="array" ref="W109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110" spans="1:23" x14ac:dyDescent="0.25">
      <c r="A110" s="274" t="s">
        <v>254</v>
      </c>
      <c r="C110" s="369" t="s">
        <v>1989</v>
      </c>
      <c r="W110" s="399"/>
    </row>
    <row r="111" spans="1:23" x14ac:dyDescent="0.25">
      <c r="A111" s="274" t="s">
        <v>254</v>
      </c>
      <c r="C111" s="369" t="s">
        <v>1989</v>
      </c>
      <c r="W111" s="399"/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>⬒ Z-Louvre Blade - 2"</v>
      </c>
      <c r="T112" s="1" t="str">
        <f>IF(Enginuity!$A$20="","",Enginuity!$A$20)</f>
        <v>Z-Louvre Blade - 2"</v>
      </c>
      <c r="U112" s="1" t="s">
        <v>121</v>
      </c>
      <c r="V112" s="1">
        <f>IF(Enginuity!$B$9="","",Enginuity!$B$9)</f>
        <v>70</v>
      </c>
      <c r="W112" s="399">
        <f>IFERROR(INDEX(CostData!$Q$3:$Q$12,MATCH(TRIM(Enginuity!$A$20),CostData!$P$3:$P$12,0)),"")</f>
        <v>27.105714285714289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397"/>
      <c r="S113" s="429"/>
      <c r="T113" s="397"/>
      <c r="W113" s="399"/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IF($V118="","",_xlfn.LET(_xlpm.v,TRIM(Enginuity!$B$18),_xlfn.SWITCH(_xlpm.v,"Curtain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68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_xlfn.LET(_xlpm.v,TRIM(Enginuity!$B$18),_xlpm.o,N($V$91),_xlpm.vm,N($V$92),_xlpm.hm,N($V$93),_xlpm.tot,_xlpm.o+_xlpm.vm+_xlpm.hm,IF(OR(_xlpm.v="SF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414"/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F161" s="369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F162" s="369" t="s">
        <v>2085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12-Box Lattice</v>
      </c>
      <c r="T162" s="1" t="str">
        <f>IF(Enginuity!$A$21="","",Enginuity!$A$21)</f>
        <v>12-Box Lattice</v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F163" s="369" t="s">
        <v>2086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F164" s="369" t="s">
        <v>2087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Z-Louvre Blade - 2"</v>
      </c>
      <c r="T167" s="1" t="str">
        <f>IF(Enginuity!$A$20="","",Enginuity!$A$20)</f>
        <v>Z-Louvre Blade - 2"</v>
      </c>
      <c r="U167" s="1" t="s">
        <v>121</v>
      </c>
      <c r="V167" s="1">
        <f>IF(Enginuity!$B$9="","",Enginuity!$B$9)</f>
        <v>70</v>
      </c>
      <c r="W167" s="399">
        <f>IFERROR(INDEX(CostData!$Q$3:$Q$12,MATCH(TRIM(Enginuity!$A$20),CostData!$P$3:$P$12,0)),"")</f>
        <v>27.105714285714289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414"/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F191" s="369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F192" s="369" t="s">
        <v>2085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F193" s="369" t="s">
        <v>2086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F194" s="369" t="s">
        <v>2087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Z-Louvre Blade - 2"</v>
      </c>
      <c r="T197" s="1" t="str">
        <f>IF(Enginuity!$A$20="","",Enginuity!$A$20)</f>
        <v>Z-Louvre Blade - 2"</v>
      </c>
      <c r="U197" s="1" t="s">
        <v>121</v>
      </c>
      <c r="V197" s="1">
        <f>IF(Enginuity!$B$9="","",Enginuity!$B$9)</f>
        <v>70</v>
      </c>
      <c r="W197" s="399">
        <f>IFERROR(INDEX(CostData!$Q$3:$Q$12,MATCH(TRIM(Enginuity!$A$20),CostData!$P$3:$P$12,0)),"")</f>
        <v>27.105714285714289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414"/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F221" s="369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F222" s="369" t="s">
        <v>2085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F223" s="369" t="s">
        <v>2086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F224" s="369" t="s">
        <v>2087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Z-Louvre Blade - 2"</v>
      </c>
      <c r="T227" s="1" t="str">
        <f>IF(Enginuity!$A$20="","",Enginuity!$A$20)</f>
        <v>Z-Louvre Blade - 2"</v>
      </c>
      <c r="U227" s="1" t="s">
        <v>121</v>
      </c>
      <c r="V227" s="1">
        <f>IF(Enginuity!$B$9="","",Enginuity!$B$9)</f>
        <v>70</v>
      </c>
      <c r="W227" s="399">
        <f>IFERROR(INDEX(CostData!$Q$3:$Q$12,MATCH(TRIM(Enginuity!$A$20),CostData!$P$3:$P$12,0)),"")</f>
        <v>27.105714285714289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414"/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F251" s="369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F252" s="369" t="s">
        <v>2085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F253" s="369" t="s">
        <v>2086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F254" s="369" t="s">
        <v>2087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Z-Louvre Blade - 2"</v>
      </c>
      <c r="T257" s="1" t="str">
        <f>IF(Enginuity!$A$20="","",Enginuity!$A$20)</f>
        <v>Z-Louvre Blade - 2"</v>
      </c>
      <c r="U257" s="1" t="s">
        <v>121</v>
      </c>
      <c r="V257" s="1">
        <f>IF(Enginuity!$B$9="","",Enginuity!$B$9)</f>
        <v>70</v>
      </c>
      <c r="W257" s="399">
        <f>IFERROR(INDEX(CostData!$Q$3:$Q$12,MATCH(TRIM(Enginuity!$A$20),CostData!$P$3:$P$12,0)),"")</f>
        <v>27.105714285714289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414"/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248.66657511447653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F281" s="369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F282" s="369" t="s">
        <v>2085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F283" s="369" t="s">
        <v>2086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248.66657511447653</v>
      </c>
    </row>
    <row r="284" spans="1:23" x14ac:dyDescent="0.25">
      <c r="A284" s="274" t="s">
        <v>254</v>
      </c>
      <c r="C284" s="369" t="s">
        <v>2067</v>
      </c>
      <c r="F284" s="369" t="s">
        <v>2087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Z-Louvre Blade - 2"</v>
      </c>
      <c r="T287" s="1" t="str">
        <f>IF(Enginuity!$A$20="","",Enginuity!$A$20)</f>
        <v>Z-Louvre Blade - 2"</v>
      </c>
      <c r="U287" s="1" t="s">
        <v>121</v>
      </c>
      <c r="V287" s="1">
        <f>IF(Enginuity!$B$9="","",Enginuity!$B$9)</f>
        <v>70</v>
      </c>
      <c r="W287" s="399">
        <f>IFERROR(INDEX(CostData!$Q$3:$Q$12,MATCH(TRIM(Enginuity!$A$20),CostData!$P$3:$P$12,0)),"")</f>
        <v>27.105714285714289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20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/>
      <c r="G301" s="414"/>
      <c r="H301" s="414" t="str">
        <f t="shared" ref="H301:L301" si="16">IFERROR(IF(D1=0,"",D1),"")</f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24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9.35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F311" s="369" t="str">
        <f t="shared" ref="F311" si="18">IFERROR(IF(B11=0,"",B11),"")</f>
        <v/>
      </c>
      <c r="G311" s="369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27.105714285714289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586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24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24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414"/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G332" s="369" t="s">
        <v>1936</v>
      </c>
      <c r="P332" s="1" t="e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e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e">
        <f>IF(TRIM(Enginuity!$A$22)="","",IF(AND(Enginuity!$B$6&gt;0,Enginuity!$B$7&gt;0,Enginuity!$B$13&gt;0),(2*Enginuity!$B$7*Enginuity!$B$13)+(2*Enginuity!$B$6),""))</f>
        <v>#VALUE!</v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F341" s="369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F342" s="369" t="s">
        <v>2085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F343" s="369" t="s">
        <v>2086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F344" s="369" t="s">
        <v>2087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Z-Louvre Blade - 2"</v>
      </c>
      <c r="T347" s="1" t="str">
        <f>IF(Enginuity!$A$20="","",Enginuity!$A$20)</f>
        <v>Z-Louvre Blade - 2"</v>
      </c>
      <c r="U347" s="1" t="s">
        <v>121</v>
      </c>
      <c r="V347" s="1">
        <f>IF(Enginuity!$B$9="","",Enginuity!$B$9)</f>
        <v>70</v>
      </c>
      <c r="W347" s="399">
        <f>IFERROR(INDEX(CostData!$Q$3:$Q$12,MATCH(TRIM(Enginuity!$A$20),CostData!$P$3:$P$12,0)),"")</f>
        <v>27.105714285714289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70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e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e">
        <f>IF($V$392="","",$V$392)</f>
        <v>#VALUE!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e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e">
        <f>IF($V$392="","",$V$392)</f>
        <v>#VALUE!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/>
      <c r="G361" s="414" t="str">
        <f t="shared" ref="G361" si="20">IFERROR(IF(C61=0,"",C61),"")</f>
        <v>Casement Window Standard</v>
      </c>
      <c r="H361" s="414" t="str">
        <f t="shared" ref="H361" si="21">IFERROR(IF(D61=0,"",D61),"")</f>
        <v>N/A</v>
      </c>
      <c r="I361" s="414" t="str">
        <f t="shared" ref="I361" si="22">IFERROR(IF(E61=0,"",E61),"")</f>
        <v>Default</v>
      </c>
      <c r="J361" s="414" t="str">
        <f t="shared" ref="J361" si="23">IFERROR(IF(F61=0,"",F61),"")</f>
        <v/>
      </c>
      <c r="K361" s="414" t="str">
        <f t="shared" ref="K361" si="24">IFERROR(IF(G61=0,"",G61),"")</f>
        <v>▼ [Fix - Casement]</v>
      </c>
      <c r="L361" s="414" t="str">
        <f t="shared" ref="L361" si="25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6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6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6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6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6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6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F371" s="369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6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F372" s="369" t="s">
        <v>2085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F373" s="369" t="s">
        <v>2086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F374" s="369" t="s">
        <v>2087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27.105714285714289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414"/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e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e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 t="str">
        <f>Enginuity!A22</f>
        <v>▼ [Fix - Casement]</v>
      </c>
      <c r="U397" s="1" t="s">
        <v>1935</v>
      </c>
      <c r="V397" s="1" t="e">
        <f>IF(TRIM(Enginuity!$A$22)="","",IF(AND(Enginuity!$B$6&gt;0,Enginuity!$B$7&gt;0,Enginuity!$B$13&gt;0),(2*Enginuity!$B$7*Enginuity!$B$13)+(2*Enginuity!$B$6),""))</f>
        <v>#VALUE!</v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F401" s="369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F402" s="369" t="s">
        <v>2085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F403" s="369" t="s">
        <v>2086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F404" s="369" t="s">
        <v>2087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Z-Louvre Blade - 2"</v>
      </c>
      <c r="T407" s="1" t="str">
        <f>IF(Enginuity!$A$20="","",Enginuity!$A$20)</f>
        <v>Z-Louvre Blade - 2"</v>
      </c>
      <c r="U407" s="1" t="s">
        <v>121</v>
      </c>
      <c r="V407" s="1">
        <f>IF(Enginuity!$B$9="","",Enginuity!$B$9)</f>
        <v>70</v>
      </c>
      <c r="W407" s="399">
        <f>IFERROR(INDEX(CostData!$Q$3:$Q$12,MATCH(TRIM(Enginuity!$A$20),CostData!$P$3:$P$12,0)),"")</f>
        <v>27.105714285714289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70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e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e">
        <f>IF($V$392="","",$V$392)</f>
        <v>#VALUE!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e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e">
        <f>IF($V$392="","",$V$392)</f>
        <v>#VALUE!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414"/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e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e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e">
        <f>IF(TRIM(Enginuity!$A$22)="","",IF(AND(Enginuity!$B$6&gt;0,Enginuity!$B$7&gt;0,Enginuity!$B$13&gt;0),(2*Enginuity!$B$7*Enginuity!$B$13)+(2*Enginuity!$B$6),""))</f>
        <v>#VALUE!</v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F431" s="369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F432" s="369" t="s">
        <v>2085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F433" s="369" t="s">
        <v>2086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F434" s="369" t="s">
        <v>2087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Z-Louvre Blade - 2"</v>
      </c>
      <c r="T437" s="1" t="str">
        <f>IF(Enginuity!$A$20="","",Enginuity!$A$20)</f>
        <v>Z-Louvre Blade - 2"</v>
      </c>
      <c r="U437" s="1" t="s">
        <v>121</v>
      </c>
      <c r="V437" s="1">
        <f>IF(Enginuity!$B$9="","",Enginuity!$B$9)</f>
        <v>70</v>
      </c>
      <c r="W437" s="399">
        <f>IFERROR(INDEX(CostData!$Q$3:$Q$12,MATCH(TRIM(Enginuity!$A$20),CostData!$P$3:$P$12,0)),"")</f>
        <v>27.105714285714289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70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e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e">
        <f>IF($V$392="","",$V$392)</f>
        <v>#VALUE!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e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e">
        <f>IF($V$392="","",$V$392)</f>
        <v>#VALUE!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414"/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10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7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14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7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10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7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10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7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10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7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7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7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14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F461" s="369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F462" s="369" t="s">
        <v>2085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F463" s="369" t="s">
        <v>2086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F464" s="369" t="s">
        <v>2087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Z-Louvre Blade - 2"</v>
      </c>
      <c r="S465" s="1"/>
      <c r="T465" s="1" t="str">
        <f>IF(Enginuity!$A$20="","",Enginuity!$A$20)</f>
        <v>Z-Louvre Blade - 2"</v>
      </c>
      <c r="U465" s="1" t="s">
        <v>121</v>
      </c>
      <c r="V465" s="1">
        <f>IF(Enginuity!$B$9="","",Enginuity!$B$9)</f>
        <v>70</v>
      </c>
      <c r="W465" s="399">
        <f>IFERROR(INDEX(CostData!$Q$3:$Q$12,MATCH(TRIM(Enginuity!$A$20),CostData!$P$3:$P$12,0)),"")</f>
        <v>27.105714285714289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8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8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8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8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8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8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8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8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9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29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9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e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8" s="1" t="str">
        <f>IF($S478="","",IFERROR(_xlfn.XLOOKUP($S478,CostData!$U$22:$U$1000,CostData!$T$22:$T$1000,""),""))</f>
        <v>Weather Strip</v>
      </c>
      <c r="R478" s="16" t="str">
        <f t="shared" si="29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e">
        <f>IF($V$392="","",$V$392)</f>
        <v>#VALUE!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e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e">
        <f>IF($V$392="","",$V$392)</f>
        <v>#VALUE!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414"/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>20</v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>▼ [Fix - Casement] Fix Window</v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F491" s="369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F492" s="369" t="s">
        <v>2085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F493" s="369" t="s">
        <v>2086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F494" s="369" t="s">
        <v>2087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Z-Louvre Blade - 2"</v>
      </c>
      <c r="T497" s="1" t="str">
        <f>IF(Enginuity!$A$20="","",Enginuity!$A$20)</f>
        <v>Z-Louvre Blade - 2"</v>
      </c>
      <c r="U497" s="1" t="s">
        <v>121</v>
      </c>
      <c r="V497" s="1">
        <f>IF(Enginuity!$B$9="","",Enginuity!$B$9)</f>
        <v>70</v>
      </c>
      <c r="W497" s="399">
        <f>IFERROR(INDEX(CostData!$Q$3:$Q$12,MATCH(TRIM(Enginuity!$A$20),CostData!$P$3:$P$12,0)),"")</f>
        <v>27.105714285714289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e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e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>#VALUE!</v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70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414"/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>20</v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>▼ [Fix - Casement] Fix Window</v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F521" s="369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F522" s="369" t="s">
        <v>2085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F523" s="369" t="s">
        <v>2086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F524" s="369" t="s">
        <v>2087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Z-Louvre Blade - 2"</v>
      </c>
      <c r="T527" s="1" t="str">
        <f>IF(Enginuity!$A$20="","",Enginuity!$A$20)</f>
        <v>Z-Louvre Blade - 2"</v>
      </c>
      <c r="U527" s="1" t="s">
        <v>121</v>
      </c>
      <c r="V527" s="1">
        <f>IF(Enginuity!$B$9="","",Enginuity!$B$9)</f>
        <v>70</v>
      </c>
      <c r="W527" s="399">
        <f>IFERROR(INDEX(CostData!$Q$3:$Q$12,MATCH(TRIM(Enginuity!$A$20),CostData!$P$3:$P$12,0)),"")</f>
        <v>27.105714285714289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e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e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>#VALUE!</v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70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27.105714285714289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28.388571428571428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27.105714285714289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28.388571428571428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F1" sqref="F1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G5" t="str">
        <v>L + R</v>
      </c>
      <c r="H5" t="str">
        <v>L + R</v>
      </c>
    </row>
    <row r="6" spans="1:12" x14ac:dyDescent="0.25">
      <c r="C6" t="str">
        <v>Sliding Door Standard</v>
      </c>
      <c r="G6" t="str">
        <v>Top / Bottom + L / R</v>
      </c>
      <c r="H6" t="str">
        <v>Top / Bottom + L / R</v>
      </c>
    </row>
    <row r="7" spans="1:12" x14ac:dyDescent="0.25">
      <c r="C7" t="str">
        <v>Sliding Window Economy</v>
      </c>
      <c r="G7" t="str">
        <v>Top / Bottom + L + R</v>
      </c>
      <c r="H7" t="str">
        <v>Top / Bottom + L + R</v>
      </c>
    </row>
    <row r="8" spans="1:12" x14ac:dyDescent="0.25">
      <c r="C8" t="str">
        <v>Sliding Window Performance</v>
      </c>
      <c r="G8" t="str">
        <v>Top + Bottom + L / R</v>
      </c>
      <c r="H8" t="str">
        <v>Top + Bottom + L / R</v>
      </c>
    </row>
    <row r="9" spans="1:12" x14ac:dyDescent="0.25">
      <c r="C9" t="str">
        <v>Swing Door 4" Profile</v>
      </c>
      <c r="G9" t="str">
        <v>Top + Bottom + L + R</v>
      </c>
      <c r="H9" t="str">
        <v>Top + Bottom + L + R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24</v>
      </c>
      <c r="E2" s="243">
        <v>11.46</v>
      </c>
      <c r="F2" s="104">
        <f>IF(D2*E2=0, "", D2*E2)</f>
        <v>275.04000000000002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10</v>
      </c>
      <c r="E3" s="243">
        <v>2.99</v>
      </c>
      <c r="F3" s="104">
        <f t="shared" ref="F3:F49" si="0">IF(D3*E3=0, "", D3*E3)</f>
        <v>29.900000000000002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10</v>
      </c>
      <c r="E4" s="243">
        <v>5.7</v>
      </c>
      <c r="F4" s="104">
        <f t="shared" si="0"/>
        <v>57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10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7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E6" s="243">
        <v>0.56999999999999995</v>
      </c>
      <c r="F6" s="104">
        <f t="shared" si="0"/>
        <v>39.9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P8" s="14" t="s">
        <v>278</v>
      </c>
      <c r="Q8" s="82">
        <f>Enginuity!$B$6*2</f>
        <v>20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10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20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20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40</v>
      </c>
      <c r="P12" s="14" t="s">
        <v>284</v>
      </c>
      <c r="Q12" s="97">
        <f>Enginuity!$B$6</f>
        <v>10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20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14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14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14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10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10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7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14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14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Z-Louvre Blade - 2"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12-Box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 t="str">
        <f>Enginuity!$A$22</f>
        <v>▼ [Fix - Casement]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- 2"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12-Box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 t="str">
        <f>Enginuity!$A$22</f>
        <v>▼ [Fix - Casement]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10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10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14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20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20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14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10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10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7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- 2"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12-Box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 t="str">
        <f>Enginuity!$A$22</f>
        <v>▼ [Fix - Casement]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10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10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14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20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20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14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10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10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7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- 2"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12-Box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 t="str">
        <f>Enginuity!$A$22</f>
        <v>▼ [Fix - Casement]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10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10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14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20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20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14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10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10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7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- 2"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12-Box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 t="str">
        <f>Enginuity!$A$22</f>
        <v>▼ [Fix - Casement]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10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10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14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20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20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14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10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10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7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- 2"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12-Box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 t="str">
        <f>Enginuity!$A$22</f>
        <v>▼ [Fix - Casement]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20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14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10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14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40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14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- 2"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20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14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10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14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40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14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- 2"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20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14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- 2"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12-Box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 t="str">
        <f>Enginuity!$A$22</f>
        <v>▼ [Fix - Casement]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 t="str">
        <f>Enginuity!$A$23</f>
        <v>Top + Bottom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275.04000000000002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14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- 2"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12-Box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 t="str">
        <f>Enginuity!$A$22</f>
        <v>▼ [Fix - Casement]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 t="str">
        <f>Enginuity!$A$23</f>
        <v>Top + Bottom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20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24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24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- 2"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12-Box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 t="str">
        <f>Enginuity!$A$22</f>
        <v>▼ [Fix - Casement]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- 2"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12-Box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 t="str">
        <f>Enginuity!$A$22</f>
        <v>▼ [Fix - Casement]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- 2"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12-Box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 t="str">
        <f>Enginuity!$A$22</f>
        <v>▼ [Fix - Casement]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- 2"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12-Box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 t="str">
        <f>Enginuity!$A$22</f>
        <v>▼ [Fix - Casement]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10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7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35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70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70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70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70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10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7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35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70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70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70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70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10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70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70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70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70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70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#DIV/0!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#DIV/0!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#DIV/0!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#DIV/0!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Z-Louvre Blade - 2"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12-Box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Z-Louvre Blade - 2"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12-Box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Z-Louvre Blade - 2"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12-Box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10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10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14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14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- 2"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12-Box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 t="str">
        <f>Enginuity!$A$22</f>
        <v>▼ [Fix - Casement]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10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10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14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20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20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14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10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10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14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- 2"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12-Box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10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10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14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20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20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14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10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10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14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- 2"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12-Box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70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W/G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10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210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24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24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7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210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70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35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20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10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10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14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24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210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210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70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35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70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W/G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W/G</v>
      </c>
      <c r="Q990" s="82">
        <f>IFERROR(
  IF(OR(Enginuity!$B$6="",Enginuity!$B$7=""),"",
     VALUE(Enginuity!$B$6)*VALUE(Enginuity!$B$7) - N(Q998)
  ),
"")</f>
        <v>70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W/G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W/G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24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10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- 2"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5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10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24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10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- 2"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5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10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Z-Louvre Blade - 2"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12-Box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 t="str">
        <f>Enginuity!$A$22</f>
        <v>▼ [Fix - Casement]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Z-Louvre Blade - 2"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12-Box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 t="str">
        <f>Enginuity!$A$22</f>
        <v>▼ [Fix - Casement]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Z-Louvre Blade - 2"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12-Box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 t="str">
        <f>Enginuity!$A$22</f>
        <v>▼ [Fix - Casement]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- 2"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- 2"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Z-Louvre Blade - 2"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12-Box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 t="str">
        <f>Enginuity!$A$22</f>
        <v>▼ [Fix - Casement]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Z-Louvre Blade - 2"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12-Box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 t="str">
        <f>Enginuity!$A$22</f>
        <v>▼ [Fix - Casement]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51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Z-Louvre Blade - 2"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12-Box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287.7525</v>
      </c>
      <c r="P1221" s="105" t="str">
        <f>Enginuity!$A$22</f>
        <v>▼ [Fix - Casement]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 t="str">
        <f>Enginuity!$A$23</f>
        <v>Top + Bottom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91.35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12-Box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Z-Louvre Blade - 2"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12-Box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 t="str">
        <f>Enginuity!$A$22</f>
        <v>▼ [Fix - Casement]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 t="str">
        <f>Enginuity!$A$22</f>
        <v>▼ [Fix - Casement]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 t="str">
        <f>Enginuity!$A$22</f>
        <v>▼ [Fix - Casement]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 t="str">
        <f>Enginuity!$A$22</f>
        <v>▼ [Fix - Casement]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 t="str">
        <f>Enginuity!$A$22</f>
        <v>▼ [Fix - Casement]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 t="str">
        <f>Enginuity!$A$22</f>
        <v>▼ [Fix - Casement]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Casement Window Standard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70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- 2"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Z-Louvre Blade - 2"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12-Box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 t="str">
        <f>Enginuity!$A$22</f>
        <v>▼ [Fix - Casement]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53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Z-Louvre Blade - 2"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12-Box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 t="str">
        <f>Enginuity!$A$22</f>
        <v>▼ [Fix - Casement]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70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10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10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14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14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- 2"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12-Box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24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7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- 2"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12-Box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24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1441.2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W/G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23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23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23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15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15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15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Casement Window Standard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Casement Window Standard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Casement Window Standard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Casement Window Standard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W/G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e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#DIV/0!</v>
      </c>
      <c r="U2038" s="103" t="e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>#DIV/0!</v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e">
        <f>IF(OR(Enginuity!$B$6="",Enginuity!$B$15=""),
   "",
   CEILING(
      (
         Enginuity!$B$6*304.8 +
         (MAX(0,ROUNDUP(Enginuity!$B$6*304.8/Enginuity!$B$15,0)-1))*1000
      )*24/24716,
   1)
)</f>
        <v>#DIV/0!</v>
      </c>
      <c r="U2039" s="103" t="e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>#DIV/0!</v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e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#DIV/0!</v>
      </c>
      <c r="U2041" s="103" t="e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>#DIV/0!</v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Z-Louvre Blade - 2"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2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2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1392.9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10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10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14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20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20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14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10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10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7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- 2"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12-Box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 t="str">
        <f>Enginuity!$A$22</f>
        <v>▼ [Fix - Casement]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10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10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14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20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20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14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10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10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7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- 2"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12-Box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 t="str">
        <f>Enginuity!$A$22</f>
        <v>▼ [Fix - Casement]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70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- 2"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- 2"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Casement Window Standard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W/G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Z-Louvre Blade - 2"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12-Box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 t="str">
        <f>Enginuity!$A$22</f>
        <v>▼ [Fix - Casement]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38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Standard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W/G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 t="str">
        <f>Enginuity!$A$22</f>
        <v>▼ [Fix - Casement]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38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0" t="s">
        <v>1472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Q1" s="430" t="s">
        <v>1472</v>
      </c>
      <c r="R1" s="431"/>
      <c r="S1" s="431"/>
      <c r="T1" s="431"/>
      <c r="U1" s="431"/>
      <c r="V1" s="431"/>
      <c r="W1" s="431"/>
      <c r="X1" s="431"/>
      <c r="Y1" s="431"/>
      <c r="Z1" s="431"/>
      <c r="AA1" s="431"/>
    </row>
    <row r="2" spans="1:27" ht="15" customHeight="1" x14ac:dyDescent="0.25">
      <c r="A2" s="432" t="s">
        <v>1473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Q2" s="432" t="s">
        <v>1473</v>
      </c>
      <c r="R2" s="431"/>
      <c r="S2" s="431"/>
      <c r="T2" s="431"/>
      <c r="U2" s="431"/>
      <c r="V2" s="431"/>
      <c r="W2" s="431"/>
      <c r="X2" s="431"/>
      <c r="Y2" s="431"/>
      <c r="Z2" s="431"/>
      <c r="AA2" s="431"/>
    </row>
    <row r="3" spans="1:27" ht="15" customHeight="1" x14ac:dyDescent="0.25">
      <c r="A3" s="257" t="s">
        <v>1474</v>
      </c>
      <c r="B3" s="258">
        <v>21.4</v>
      </c>
      <c r="C3"/>
      <c r="F3" s="436" t="s">
        <v>1511</v>
      </c>
      <c r="G3" s="437"/>
      <c r="H3" s="437"/>
      <c r="I3" s="438"/>
      <c r="Q3" s="257" t="s">
        <v>1474</v>
      </c>
      <c r="R3" s="258">
        <v>25</v>
      </c>
      <c r="S3" s="268"/>
      <c r="V3" s="433" t="s">
        <v>1475</v>
      </c>
      <c r="W3" s="434"/>
      <c r="X3" s="434"/>
      <c r="Y3" s="435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6" t="s">
        <v>1510</v>
      </c>
      <c r="G7" s="437"/>
      <c r="H7" s="437"/>
      <c r="I7" s="438"/>
      <c r="Q7" s="257" t="s">
        <v>1483</v>
      </c>
      <c r="R7" s="262" t="s">
        <v>1479</v>
      </c>
      <c r="S7" s="268"/>
      <c r="V7" s="433" t="s">
        <v>1484</v>
      </c>
      <c r="W7" s="434"/>
      <c r="X7" s="434"/>
      <c r="Y7" s="435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2" t="s">
        <v>1486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>
        <v>6060</v>
      </c>
      <c r="M11">
        <f>L11/304.8</f>
        <v>19.881889763779526</v>
      </c>
      <c r="Q11" s="432" t="s">
        <v>1486</v>
      </c>
      <c r="R11" s="431"/>
      <c r="S11" s="431"/>
      <c r="T11" s="431"/>
      <c r="U11" s="431"/>
      <c r="V11" s="431"/>
      <c r="W11" s="431"/>
      <c r="X11" s="431"/>
      <c r="Y11" s="431"/>
      <c r="Z11" s="431"/>
      <c r="AA11" s="431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9" t="s">
        <v>1519</v>
      </c>
      <c r="W1" s="439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3048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2133.6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21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98.060000000000016</v>
      </c>
      <c r="C27" s="361">
        <f>B27</f>
        <v>98.060000000000016</v>
      </c>
    </row>
    <row r="28" spans="1:40" x14ac:dyDescent="0.25">
      <c r="A28" s="337" t="s">
        <v>1721</v>
      </c>
      <c r="B28" s="362">
        <f>$C$47</f>
        <v>98.060000000000016</v>
      </c>
      <c r="C28" s="381">
        <f>B28</f>
        <v>98.060000000000016</v>
      </c>
    </row>
    <row r="29" spans="1:40" x14ac:dyDescent="0.25">
      <c r="A29" s="337" t="s">
        <v>1722</v>
      </c>
      <c r="B29" s="363">
        <f>ROUND($C$48,10)</f>
        <v>98.06</v>
      </c>
      <c r="C29" s="364">
        <f>B29</f>
        <v>98.06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2082.8000000000002</v>
      </c>
      <c r="C31" s="365">
        <f>B31</f>
        <v>2082.8000000000002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2133.6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2997.2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2082.8000000000002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98.060000000000016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98.060000000000016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98.06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2997.2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2082.8000000000002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2133.6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2997.2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2082.8000000000002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5" t="s">
        <v>1532</v>
      </c>
      <c r="B1" s="431"/>
      <c r="C1" s="431"/>
      <c r="D1" s="431"/>
      <c r="E1" s="431"/>
      <c r="F1" s="431"/>
      <c r="G1" s="431"/>
      <c r="H1" s="431"/>
      <c r="I1" s="431"/>
      <c r="K1" s="446" t="s">
        <v>1533</v>
      </c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G1" s="285" t="s">
        <v>1537</v>
      </c>
      <c r="BC1" s="1"/>
    </row>
    <row r="2" spans="1:55" ht="15" customHeight="1" x14ac:dyDescent="0.25">
      <c r="A2" s="448" t="s">
        <v>1534</v>
      </c>
      <c r="B2" s="431"/>
      <c r="C2" s="431"/>
      <c r="D2" s="431"/>
      <c r="E2" s="431"/>
      <c r="F2" s="431"/>
      <c r="G2" s="431"/>
      <c r="H2" s="431"/>
      <c r="I2" s="431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40" t="s">
        <v>1535</v>
      </c>
      <c r="B4" s="440"/>
      <c r="C4" s="302"/>
      <c r="D4" s="180"/>
      <c r="E4" s="440" t="s">
        <v>1536</v>
      </c>
      <c r="F4" s="441"/>
      <c r="G4" s="441"/>
      <c r="H4" s="441"/>
      <c r="I4" s="441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40" t="s">
        <v>1577</v>
      </c>
      <c r="F9" s="441"/>
      <c r="G9" s="441"/>
      <c r="H9" s="441"/>
      <c r="I9" s="441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2" t="s">
        <v>1586</v>
      </c>
      <c r="B15" s="443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2" t="s">
        <v>1593</v>
      </c>
      <c r="B26" s="443"/>
      <c r="C26" s="444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9" t="s">
        <v>1632</v>
      </c>
      <c r="B1" s="431"/>
      <c r="C1" s="431"/>
      <c r="D1" s="431"/>
      <c r="E1" s="431"/>
      <c r="F1" s="431"/>
      <c r="G1" s="431"/>
      <c r="H1" s="431"/>
      <c r="I1" s="431"/>
    </row>
    <row r="2" spans="1:9" ht="15" customHeight="1" x14ac:dyDescent="0.25"/>
    <row r="3" spans="1:9" ht="15" customHeight="1" x14ac:dyDescent="0.25">
      <c r="A3" s="450" t="s">
        <v>1633</v>
      </c>
      <c r="B3" s="451"/>
      <c r="C3" s="451"/>
      <c r="E3" s="450" t="s">
        <v>1536</v>
      </c>
      <c r="F3" s="451"/>
      <c r="G3" s="451"/>
      <c r="H3" s="451"/>
      <c r="I3" s="451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50" t="s">
        <v>1577</v>
      </c>
      <c r="F9" s="451"/>
      <c r="G9" s="451"/>
      <c r="H9" s="451"/>
      <c r="I9" s="451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2" t="s">
        <v>1586</v>
      </c>
      <c r="B18" s="431"/>
      <c r="C18" s="431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2" t="s">
        <v>1593</v>
      </c>
      <c r="B31" s="431"/>
      <c r="C31" s="431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2026-04-22T15:04:41Z</dcterms:modified>
</cp:coreProperties>
</file>