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D6269C63-D985-4593-9790-263CF0F92833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94" i="38" l="1" a="1"/>
  <c r="P94" i="38" s="1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B42" i="19" a="1"/>
  <c r="B42" i="19" s="1"/>
  <c r="B15" i="1" s="1" a="1"/>
  <c r="B15" i="1" s="1"/>
  <c r="A2" i="19" a="1"/>
  <c r="A2" i="19" s="1"/>
  <c r="B17" i="1" l="1" a="1"/>
  <c r="B17" i="1" s="1"/>
  <c r="B41" i="19" a="1"/>
  <c r="B41" i="19" s="1"/>
  <c r="B32" i="1" a="1"/>
  <c r="B32" i="1" s="1"/>
  <c r="F2" i="19" a="1"/>
  <c r="F2" i="19" s="1"/>
  <c r="F1" i="19" a="1"/>
  <c r="F1" i="19" s="1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30" i="38" l="1" a="1"/>
  <c r="W330" i="38" s="1"/>
  <c r="W311" i="38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W160" i="38" s="1" a="1"/>
  <c r="W160" i="38" s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W301" i="38" s="1" a="1"/>
  <c r="W301" i="38" s="1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W151" i="38" s="1" a="1"/>
  <c r="W151" i="38" s="1"/>
  <c r="H60" i="36"/>
  <c r="W159" i="38" s="1" a="1"/>
  <c r="W159" i="38" s="1"/>
  <c r="I1032" i="36"/>
  <c r="H1043" i="36"/>
  <c r="I60" i="36"/>
  <c r="I52" i="36"/>
  <c r="I1034" i="36"/>
  <c r="H53" i="36"/>
  <c r="W152" i="38" s="1" a="1"/>
  <c r="W152" i="38" s="1"/>
  <c r="H61" i="36"/>
  <c r="W161" i="38" s="1" a="1"/>
  <c r="W161" i="38" s="1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W154" i="38" s="1" a="1"/>
  <c r="W154" i="38" s="1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6" i="35"/>
  <c r="B58" i="35"/>
  <c r="B59" i="35"/>
  <c r="B51" i="35"/>
  <c r="B52" i="35"/>
  <c r="B49" i="35"/>
  <c r="B61" i="35"/>
  <c r="B60" i="35"/>
  <c r="B46" i="35"/>
  <c r="B53" i="35"/>
  <c r="B57" i="35"/>
  <c r="B48" i="35"/>
  <c r="B50" i="35"/>
  <c r="B54" i="35"/>
  <c r="B55" i="35"/>
  <c r="B47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V295" i="38" l="1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V477" i="38" s="1"/>
  <c r="B13" i="1"/>
  <c r="V427" i="38" s="1"/>
  <c r="P427" i="38" s="1" a="1"/>
  <c r="P427" i="38" s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P477" i="38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C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W465" i="38" s="1"/>
  <c r="P465" i="38" s="1" a="1"/>
  <c r="P465" i="38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P467" i="38" l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<sst xmlns="http://schemas.openxmlformats.org/spreadsheetml/2006/main" count="12228" uniqueCount="2151">
  <si>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</si>
  <si>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</si>
  <si>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</si>
  <si>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</si>
  <si>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</si>
  <si>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</si>
  <si>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</si>
  <si>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</si>
  <si>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</si>
  <si>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</si>
  <si>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</si>
  <si>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</si>
  <si>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</si>
  <si>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</si>
  <si>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</si>
  <si>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</si>
  <si>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</si>
  <si>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</si>
  <si>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</si>
  <si>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</si>
  <si>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</si>
  <si>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</si>
  <si>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</si>
  <si>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</si>
  <si>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</si>
  <si>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</si>
  <si>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</si>
  <si>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</si>
  <si>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</si>
  <si>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</si>
  <si>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</si>
  <si>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</si>
  <si>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</si>
  <si>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</si>
  <si>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</si>
  <si>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</si>
  <si>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</si>
  <si>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</si>
  <si>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</si>
  <si>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</si>
  <si>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</si>
  <si>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</si>
  <si>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</si>
  <si>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</si>
  <si>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</si>
  <si>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</si>
  <si>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</si>
  <si>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</si>
  <si>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</si>
  <si>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</si>
  <si>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</si>
  <si>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</si>
  <si>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</si>
  <si>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</si>
  <si>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</si>
  <si>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</si>
  <si>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</si>
  <si>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</si>
  <si>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</si>
  <si>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</si>
  <si>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</si>
  <si>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</si>
  <si>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</si>
  <si>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</si>
  <si>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</si>
  <si>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</si>
  <si>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</si>
  <si>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</si>
  <si>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</si>
  <si>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</si>
  <si>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</si>
  <si>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</si>
  <si>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</si>
  <si>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</si>
  <si>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</si>
  <si>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</si>
  <si>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</si>
  <si>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</si>
  <si>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</si>
  <si>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</si>
  <si>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</si>
  <si>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</si>
  <si>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</si>
  <si>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</si>
  <si>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</si>
  <si>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</si>
  <si>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</si>
  <si>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</si>
  <si>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</si>
  <si>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</si>
  <si>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</si>
  <si>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</si>
  <si>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</si>
  <si>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</si>
  <si>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</si>
  <si>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</si>
  <si>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</si>
  <si>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</si>
  <si>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</si>
  <si>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</si>
  <si>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</si>
  <si>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</si>
  <si>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</si>
  <si>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</si>
  <si>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</si>
  <si>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</si>
  <si>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</si>
  <si>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</si>
  <si>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</si>
  <si>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</si>
  <si>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</si>
  <si>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</si>
  <si>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</si>
  <si>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</si>
  <si>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</si>
  <si>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</si>
  <si>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</si>
  <si>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</si>
  <si>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</si>
  <si>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</si>
  <si>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</si>
  <si>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</si>
  <si>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</si>
  <si>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</si>
  <si>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</si>
  <si>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</si>
  <si>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</si>
  <si>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</si>
  <si>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</si>
  <si>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</si>
  <si>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</si>
  <si>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</si>
  <si>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</si>
  <si>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</si>
  <si>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</si>
  <si>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</si>
  <si>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</si>
  <si>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</si>
  <si>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</si>
  <si>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</si>
  <si>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</si>
  <si>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</si>
  <si>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</si>
  <si>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</si>
  <si>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</si>
  <si>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</si>
  <si>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</si>
  <si>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</si>
  <si>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</si>
  <si>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</si>
  <si>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</si>
  <si>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</si>
  <si>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</si>
  <si>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</si>
  <si>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</si>
  <si>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</si>
  <si>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</si>
  <si>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</si>
  <si>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</si>
  <si>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</si>
  <si>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</si>
  <si>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</si>
  <si>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</si>
  <si>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</si>
  <si>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</si>
  <si>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</si>
  <si>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</si>
  <si>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</si>
  <si>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</si>
  <si>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</si>
  <si>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</si>
  <si>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</si>
  <si>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</si>
  <si>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</si>
  <si>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</si>
  <si>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</si>
  <si>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</si>
  <si>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</si>
  <si>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</si>
  <si>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</si>
  <si>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</si>
  <si>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</si>
  <si>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</si>
  <si>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</si>
  <si>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</si>
  <si>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</si>
  <si>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</si>
  <si>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</si>
  <si>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</si>
  <si>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</si>
  <si>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</si>
  <si>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</si>
  <si>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</si>
  <si>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</si>
  <si>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</si>
  <si>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</si>
  <si>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</si>
  <si>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</si>
  <si>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</si>
  <si>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</si>
  <si>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</si>
  <si>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</si>
  <si>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</si>
  <si>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</si>
  <si>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</si>
  <si>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</si>
  <si>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</si>
  <si>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</si>
  <si>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</si>
  <si>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</si>
  <si>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</si>
  <si>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</si>
  <si>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</si>
  <si>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</si>
  <si>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</si>
  <si>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</si>
  <si>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</si>
  <si>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</si>
  <si>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</si>
  <si>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</si>
  <si>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</si>
  <si>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</si>
  <si>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</si>
  <si>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</si>
  <si>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</si>
  <si>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</si>
  <si>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</si>
  <si>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</si>
  <si>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</si>
  <si>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</si>
  <si>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</si>
  <si>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</si>
  <si>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</si>
  <si>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</si>
  <si>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</si>
  <si>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</si>
  <si>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</si>
  <si>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</si>
  <si>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</si>
  <si>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</si>
  <si>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</si>
  <si>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</si>
  <si>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</si>
  <si>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</si>
  <si>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</si>
  <si>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</si>
  <si>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</si>
  <si>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</si>
  <si>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</si>
  <si>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</si>
  <si>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</si>
  <si>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</si>
  <si>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</si>
  <si>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</si>
  <si>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</si>
  <si>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</si>
  <si>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</si>
  <si>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</si>
  <si>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</si>
  <si>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</si>
  <si>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</si>
  <si>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</si>
  <si>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</si>
  <si>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</si>
  <si>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</si>
  <si>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</si>
  <si>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</si>
  <si>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</si>
  <si>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</si>
  <si>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</si>
  <si>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</si>
  <si>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</si>
  <si>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</si>
  <si>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</si>
  <si>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</si>
  <si>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</si>
  <si>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</si>
  <si>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</si>
  <si>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</si>
  <si>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</si>
  <si>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</si>
  <si>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</si>
  <si>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</si>
  <si>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</si>
  <si>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</si>
  <si>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</si>
  <si>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</si>
  <si>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</si>
  <si>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</si>
  <si>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</si>
  <si>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</si>
  <si>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</si>
  <si>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</si>
  <si>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</si>
  <si>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</si>
  <si>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</si>
  <si>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</si>
  <si>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</si>
  <si>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</si>
  <si>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</si>
  <si>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</si>
  <si>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</si>
  <si>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</si>
  <si>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</si>
  <si>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</si>
  <si>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</si>
  <si>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</si>
  <si>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</si>
  <si>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</si>
  <si>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</si>
  <si>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</si>
  <si>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</si>
  <si>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</si>
  <si>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</si>
  <si>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</si>
  <si>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</si>
  <si>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</si>
  <si>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</si>
  <si>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</si>
  <si>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</si>
  <si>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</si>
  <si>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</si>
  <si>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</si>
  <si>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</si>
  <si>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</si>
  <si>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</si>
  <si>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</si>
  <si>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</si>
  <si>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</si>
  <si>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</si>
  <si>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</si>
  <si>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</si>
  <si>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</si>
  <si>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</si>
  <si>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</si>
  <si>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</si>
  <si>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</si>
  <si>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</si>
  <si>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</si>
  <si>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</si>
  <si>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</si>
  <si>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</si>
  <si>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</si>
  <si>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</si>
  <si>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</si>
  <si>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</si>
  <si>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</si>
  <si>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</si>
  <si>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</si>
  <si>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</si>
  <si>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</si>
  <si>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</si>
  <si>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</si>
  <si>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</si>
  <si>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</si>
  <si>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</si>
  <si>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</si>
  <si>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</si>
  <si>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</si>
  <si>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</si>
  <si>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</si>
  <si>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</si>
  <si>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</si>
  <si>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</si>
  <si>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</si>
  <si>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</si>
  <si>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</si>
  <si>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</si>
  <si>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</si>
  <si>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</si>
  <si>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</si>
  <si>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</si>
  <si>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</si>
  <si>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</si>
  <si>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</si>
  <si>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</si>
  <si>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</si>
  <si>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</si>
  <si>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</si>
  <si>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</si>
  <si>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</si>
  <si>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</si>
  <si>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</si>
  <si>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</si>
  <si>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</si>
  <si>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</si>
  <si>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</si>
  <si>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</si>
  <si>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</si>
  <si>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</si>
  <si>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</si>
  <si>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</si>
  <si>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</si>
  <si>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</si>
  <si>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</si>
  <si>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</si>
  <si>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</si>
  <si>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</si>
  <si>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</si>
  <si>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</si>
  <si>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</si>
  <si>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</si>
  <si>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</si>
  <si>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</si>
  <si>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</si>
  <si>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</si>
  <si>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</si>
  <si>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</si>
  <si>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</si>
  <si>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</si>
  <si>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</si>
  <si>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</si>
  <si>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</si>
  <si>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</si>
  <si>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</si>
  <si>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</si>
  <si>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</si>
  <si>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</si>
  <si>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</si>
  <si>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</si>
  <si>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</si>
  <si>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</si>
  <si>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</si>
  <si>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</si>
  <si>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</si>
  <si>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</si>
  <si>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</si>
  <si>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</si>
  <si>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</si>
  <si>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</si>
  <si>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</si>
  <si>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</si>
  <si>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</si>
  <si>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</si>
  <si>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</si>
  <si>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</si>
  <si>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</si>
  <si>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</si>
  <si>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</si>
  <si>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</si>
  <si>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</si>
  <si>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</si>
  <si>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</si>
  <si>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</si>
  <si>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</si>
  <si>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</si>
  <si>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</si>
  <si>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</si>
  <si>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</si>
  <si>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</si>
  <si>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</si>
  <si>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</si>
  <si>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</si>
  <si>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</si>
  <si>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</si>
  <si>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</si>
  <si>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</si>
  <si>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</si>
  <si>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</si>
  <si>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</si>
  <si>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</si>
  <si>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</si>
  <si>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</si>
  <si>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</si>
  <si>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</si>
  <si>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</si>
  <si>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</si>
  <si>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</si>
  <si>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</si>
  <si>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</si>
  <si>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</si>
  <si>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</si>
  <si>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</si>
  <si>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</si>
  <si>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</si>
  <si>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</si>
  <si>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</si>
  <si>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</si>
  <si>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</si>
  <si>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</si>
  <si>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</si>
  <si>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</si>
  <si>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</si>
  <si>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</si>
  <si>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</si>
  <si>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</si>
  <si>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</si>
  <si>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</si>
  <si>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</si>
  <si>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</si>
  <si>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</si>
  <si>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</si>
  <si>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</si>
  <si>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</si>
  <si>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</si>
  <si>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</si>
  <si>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</si>
  <si>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</si>
  <si>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</si>
  <si>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</si>
  <si>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</si>
  <si>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</si>
  <si>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</si>
  <si>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</si>
  <si>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</si>
  <si>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</si>
  <si>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</si>
  <si>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</si>
  <si>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</si>
  <si>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</si>
  <si>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</si>
  <si>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</si>
  <si>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</si>
  <si>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</si>
  <si>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</si>
  <si>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</si>
  <si>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</si>
  <si>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</si>
  <si>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</si>
  <si>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</si>
  <si>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</si>
  <si>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</si>
  <si>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</si>
  <si>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</si>
  <si>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</si>
  <si>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</si>
  <si>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</si>
  <si>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</si>
  <si>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</si>
  <si>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</si>
  <si>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</si>
  <si>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</si>
  <si>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</si>
  <si>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</si>
  <si>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</si>
  <si>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</si>
  <si>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</si>
  <si>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</si>
  <si>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</si>
  <si>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</si>
  <si>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</si>
  <si>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</si>
  <si>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</si>
  <si>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</si>
  <si>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</si>
  <si>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</si>
  <si>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</si>
  <si>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</si>
  <si>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</si>
  <si>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</si>
  <si>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</si>
  <si>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</si>
  <si>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</si>
  <si>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</si>
  <si>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</si>
  <si>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</si>
  <si>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</si>
  <si>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</si>
  <si>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</si>
  <si>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</si>
  <si>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</si>
  <si>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</si>
  <si>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</si>
  <si>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</si>
  <si>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</si>
  <si>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</si>
  <si>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</si>
  <si>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</si>
  <si>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</si>
  <si>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</si>
  <si>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</si>
  <si>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</si>
  <si>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</si>
  <si>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</si>
  <si>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</si>
  <si>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</si>
  <si>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</si>
  <si>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</si>
  <si>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</si>
  <si>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</si>
  <si>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</si>
  <si>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</si>
  <si>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</si>
  <si>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</si>
  <si>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</si>
  <si>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</si>
  <si>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</si>
  <si>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</si>
  <si>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</si>
  <si>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</si>
  <si>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</si>
  <si>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</si>
  <si>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</si>
  <si>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</si>
  <si>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</si>
  <si>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</si>
  <si>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</si>
  <si>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</si>
  <si>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</si>
  <si>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</si>
  <si>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</si>
  <si>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</si>
  <si>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</si>
  <si>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</si>
  <si>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</si>
  <si>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</si>
  <si>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</si>
  <si>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</si>
  <si>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</si>
  <si>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</si>
  <si>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</si>
  <si>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</si>
  <si>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</si>
  <si>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</si>
  <si>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</si>
  <si>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</si>
  <si>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</si>
  <si>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</si>
  <si>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</si>
  <si>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</si>
  <si>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</si>
  <si>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</si>
  <si>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</si>
  <si>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</si>
  <si>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</si>
  <si>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</si>
  <si>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</si>
  <si>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</si>
  <si>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</si>
  <si>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</si>
  <si>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</si>
  <si>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</si>
  <si>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</si>
  <si>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</si>
  <si>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</si>
  <si>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</si>
  <si>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</si>
  <si>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</si>
  <si>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</si>
  <si>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</si>
  <si>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</si>
  <si>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</si>
  <si>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</si>
  <si>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</si>
  <si>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</si>
  <si>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</si>
  <si>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</si>
  <si>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</si>
  <si>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</si>
  <si>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</si>
  <si>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</si>
  <si>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</si>
  <si>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</si>
  <si>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</si>
  <si>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</si>
  <si>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</si>
  <si>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</si>
  <si>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</si>
  <si>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</si>
  <si>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</si>
  <si>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</si>
  <si>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</si>
  <si>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</si>
  <si>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</si>
  <si>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</si>
  <si>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</si>
  <si>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</si>
  <si>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</si>
  <si>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</si>
  <si>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</si>
  <si>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</si>
  <si>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</si>
  <si>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</si>
  <si>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</si>
  <si>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</si>
  <si>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</si>
  <si>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</si>
  <si>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</si>
  <si>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</si>
  <si>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</si>
  <si>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</si>
  <si>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</si>
  <si>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</si>
  <si>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</si>
  <si>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</si>
  <si>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</si>
  <si>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</si>
  <si>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</si>
  <si>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</si>
  <si>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</si>
  <si>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</si>
  <si>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</si>
  <si>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</si>
  <si>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</si>
  <si>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</si>
  <si>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</si>
  <si>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</si>
  <si>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</si>
  <si>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</si>
  <si>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</si>
  <si>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</si>
  <si>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</si>
  <si>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</si>
  <si>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</si>
  <si>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</si>
  <si>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</si>
  <si>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</si>
  <si>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</si>
  <si>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</si>
  <si>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</si>
  <si>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</si>
  <si>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</si>
  <si>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</si>
  <si>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</si>
  <si>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</si>
  <si>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</si>
  <si>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</si>
  <si>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</si>
  <si>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</si>
  <si>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</si>
  <si>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</si>
  <si>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</si>
  <si>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</si>
  <si>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</si>
  <si>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</si>
  <si>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</si>
  <si>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</si>
  <si>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</si>
  <si>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</si>
  <si>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</si>
  <si>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</si>
  <si>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</si>
  <si>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</si>
  <si>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</si>
  <si>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</si>
  <si>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</si>
  <si>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</si>
  <si>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</si>
  <si>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</si>
  <si>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</si>
  <si>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</si>
  <si>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</si>
  <si>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</si>
  <si>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</si>
  <si>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</si>
  <si>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</si>
  <si>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</si>
  <si>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</si>
  <si>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</si>
  <si>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</si>
  <si>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</si>
  <si>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</si>
  <si>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</si>
  <si>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</si>
  <si>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</si>
  <si>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</si>
  <si>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</si>
  <si>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</si>
  <si>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</si>
  <si>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</si>
  <si>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</si>
  <si>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</si>
  <si>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</si>
  <si>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</si>
  <si>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</si>
  <si>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</si>
  <si>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</si>
  <si>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</si>
  <si>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</si>
  <si>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</si>
  <si>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</si>
  <si>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</si>
  <si>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</si>
  <si>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</si>
  <si>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</si>
  <si>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</si>
  <si>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</si>
  <si>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</si>
  <si>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</si>
  <si>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</si>
  <si>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</si>
  <si>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</si>
  <si>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</si>
  <si>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</si>
  <si>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</si>
  <si>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</si>
  <si>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</si>
  <si>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</si>
  <si>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</si>
  <si>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</si>
  <si>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</si>
  <si>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</si>
  <si>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</si>
  <si>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</si>
  <si>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</si>
  <si>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</si>
  <si>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</si>
  <si>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</si>
  <si>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</si>
  <si>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</si>
  <si>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</si>
  <si>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</si>
  <si>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</si>
  <si>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</si>
  <si>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</si>
  <si>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</si>
  <si>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</si>
  <si>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</si>
  <si>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</si>
  <si>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</si>
  <si>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</si>
  <si>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</si>
  <si>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</si>
  <si>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</si>
  <si>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</si>
  <si>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</si>
  <si>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</si>
  <si>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</si>
  <si>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</si>
  <si>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</si>
  <si>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</si>
  <si>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</si>
  <si>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</si>
  <si>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</si>
  <si>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</si>
  <si>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</si>
  <si>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</si>
  <si>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</si>
  <si>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</si>
  <si>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</si>
  <si>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</si>
  <si>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</si>
  <si>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</si>
  <si>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</si>
  <si>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</si>
  <si>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</si>
  <si>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</si>
  <si>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</si>
  <si>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</si>
  <si>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</si>
  <si>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</si>
  <si>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</si>
  <si>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</si>
  <si>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</si>
  <si>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</si>
  <si>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</si>
  <si>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</si>
  <si>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</si>
  <si>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</si>
  <si>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</si>
  <si>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</si>
  <si>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</si>
  <si>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</si>
  <si>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</si>
  <si>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</si>
  <si>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</si>
  <si>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</si>
  <si>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</si>
  <si>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</si>
  <si>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</si>
  <si>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</si>
  <si>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</si>
  <si>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</si>
  <si>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</si>
  <si>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</si>
  <si>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</si>
  <si>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</si>
  <si>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</si>
  <si>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</si>
  <si>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</si>
  <si>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</si>
  <si>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</si>
  <si>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</si>
  <si>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</si>
  <si>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</si>
  <si>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</si>
  <si>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</si>
  <si>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</si>
  <si>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</si>
  <si>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</si>
  <si>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</si>
  <si>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</si>
  <si>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</si>
  <si>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</si>
  <si>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</si>
  <si>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</si>
  <si>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</si>
  <si>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</si>
  <si>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</si>
  <si>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</si>
  <si>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</si>
  <si>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</si>
  <si>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</si>
  <si>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</si>
  <si>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</si>
  <si>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</si>
  <si>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</si>
  <si>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</si>
  <si>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</si>
  <si>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</si>
  <si>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</si>
  <si>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</si>
  <si>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</si>
  <si>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</si>
  <si>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</si>
  <si>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</si>
  <si>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</si>
  <si>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</si>
  <si>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</si>
  <si>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</si>
  <si>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</si>
  <si>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</si>
  <si>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</si>
  <si>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</si>
  <si>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</si>
  <si>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</si>
  <si>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</si>
  <si>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</si>
  <si>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</si>
  <si>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</si>
  <si>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</si>
  <si>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</si>
  <si>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</si>
  <si>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</si>
  <si>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</si>
  <si>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</si>
  <si>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</si>
  <si>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</si>
  <si>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</si>
  <si>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</si>
  <si>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</si>
  <si>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</si>
  <si>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</si>
  <si>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</si>
  <si>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</si>
  <si>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</si>
  <si>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</si>
  <si>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</si>
  <si>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</si>
  <si>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</si>
  <si>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</si>
  <si>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</si>
  <si>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</si>
  <si>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</si>
  <si>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</si>
  <si>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</si>
  <si>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</si>
  <si>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</si>
  <si>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</si>
  <si>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</si>
  <si>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</si>
  <si>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</si>
  <si>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</si>
  <si>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</si>
  <si>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</si>
  <si>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</si>
  <si>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</si>
  <si>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</si>
  <si>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</si>
  <si>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</si>
  <si>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</si>
  <si>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</si>
  <si>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</si>
  <si>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</si>
  <si>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</si>
  <si>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</si>
  <si>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</si>
  <si>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</si>
  <si>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</si>
  <si>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</si>
  <si>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</si>
  <si>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</si>
  <si>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</si>
  <si>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</si>
  <si>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</si>
  <si>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</si>
  <si>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</si>
  <si>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</si>
  <si>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</si>
  <si>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</si>
  <si>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</si>
  <si>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</si>
  <si>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</si>
  <si>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</si>
  <si>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</si>
  <si>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</si>
  <si>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</si>
  <si>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</si>
  <si>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</si>
  <si>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</si>
  <si>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</si>
  <si>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</si>
  <si>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</si>
  <si>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</si>
  <si>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</si>
  <si>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</si>
  <si>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</si>
  <si>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</si>
  <si>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</si>
  <si>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</si>
  <si>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</si>
  <si>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</si>
  <si>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</si>
  <si>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</si>
  <si>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</si>
  <si>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</si>
  <si>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</si>
  <si>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</si>
  <si>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</si>
  <si>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</si>
  <si>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</si>
  <si>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</si>
  <si>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</si>
  <si>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</si>
  <si>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</si>
  <si>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</si>
  <si>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</si>
  <si>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</si>
  <si>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</si>
  <si>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</si>
  <si>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</si>
  <si>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</si>
  <si>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</si>
  <si>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</si>
  <si>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</si>
  <si>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</si>
  <si>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</si>
  <si>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</si>
  <si>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</si>
  <si>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</si>
  <si>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</si>
  <si>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</si>
  <si>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</si>
  <si>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</si>
  <si>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</si>
  <si>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</si>
  <si>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</si>
  <si>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</si>
  <si>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</si>
  <si>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</si>
  <si>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</si>
  <si>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</si>
  <si>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</si>
  <si>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</si>
  <si>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</si>
  <si>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</si>
  <si>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</si>
  <si>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</si>
  <si>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</si>
  <si>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</si>
  <si>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</si>
  <si>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</si>
  <si>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</si>
  <si>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</si>
  <si>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</si>
  <si>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</si>
  <si>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</si>
  <si>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</si>
  <si>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</si>
  <si>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</si>
  <si>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</si>
  <si>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</si>
  <si>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</si>
  <si>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</si>
  <si>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</si>
  <si>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</si>
  <si>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</si>
  <si>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</si>
  <si>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</si>
  <si>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</si>
  <si>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</si>
  <si>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</si>
  <si>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</si>
  <si>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</si>
  <si>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</si>
  <si>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</si>
  <si>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</si>
  <si>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</si>
  <si>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</si>
  <si>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</si>
  <si>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</si>
  <si>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</si>
  <si>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</si>
  <si>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</si>
  <si>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</si>
  <si>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</si>
  <si>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</si>
  <si>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</si>
  <si>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</si>
  <si>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</si>
  <si>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</si>
  <si>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</si>
  <si>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</si>
  <si>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</si>
  <si>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</si>
  <si>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</si>
  <si>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</si>
  <si>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</si>
  <si>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</si>
  <si>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</si>
  <si>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</si>
  <si>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</si>
  <si>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</si>
  <si>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</si>
  <si>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</si>
  <si>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</si>
  <si>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</si>
  <si>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</si>
  <si>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</si>
  <si>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</si>
  <si>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</si>
  <si>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</si>
  <si>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</si>
  <si>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</si>
  <si>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</si>
  <si>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</si>
  <si>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</si>
  <si>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</si>
  <si>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</si>
  <si>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</si>
  <si>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</si>
  <si>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</si>
  <si>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</si>
  <si>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</si>
  <si>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</si>
  <si>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</si>
  <si>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</si>
  <si>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</si>
  <si>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</si>
  <si>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</si>
  <si>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</si>
  <si>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</si>
  <si>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</si>
  <si>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</si>
  <si>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</si>
  <si>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</si>
  <si>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</si>
  <si>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</si>
  <si>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</si>
  <si>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</si>
  <si>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</si>
  <si>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</si>
  <si>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</si>
  <si>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</si>
  <si>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</si>
  <si>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</si>
  <si>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</si>
  <si>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</si>
  <si>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</si>
  <si>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</si>
  <si>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</si>
  <si>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</si>
  <si>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</si>
  <si>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</si>
  <si>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</si>
  <si>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</si>
  <si>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</si>
  <si>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</si>
  <si>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</si>
  <si>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</si>
  <si>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</si>
  <si>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</si>
  <si>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</si>
  <si>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</si>
  <si>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</si>
  <si>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</si>
  <si>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</si>
  <si>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</si>
  <si>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</si>
  <si>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</si>
  <si>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</si>
  <si>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</si>
  <si>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</si>
  <si>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</si>
  <si>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</si>
  <si>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</si>
  <si>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</si>
  <si>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</si>
  <si>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</si>
  <si>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</si>
  <si>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</si>
  <si>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</si>
  <si>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</si>
  <si>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</si>
  <si>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</si>
  <si>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</si>
  <si>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</si>
  <si>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</si>
  <si>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</si>
  <si>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</si>
  <si>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</si>
  <si>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</si>
  <si>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</si>
  <si>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</si>
  <si>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</si>
  <si>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</si>
  <si>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</si>
  <si>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</si>
  <si>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</si>
  <si>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</si>
  <si>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</si>
  <si>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</si>
  <si>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</si>
  <si>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</si>
  <si>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</si>
  <si>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</si>
  <si>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</si>
  <si>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</si>
  <si>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</si>
  <si>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</si>
  <si>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</si>
  <si>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</si>
  <si>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</si>
  <si>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</si>
  <si>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</si>
  <si>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</si>
  <si>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</si>
  <si>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</si>
  <si>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</si>
  <si>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</si>
  <si>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</si>
  <si>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</si>
  <si>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</si>
  <si>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</si>
  <si>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</si>
  <si>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</si>
  <si>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</si>
  <si>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</si>
  <si>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</si>
  <si>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</si>
  <si>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</si>
  <si>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</si>
  <si>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</si>
  <si>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</si>
  <si>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</si>
  <si>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</si>
  <si>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</si>
  <si>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</si>
  <si>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</si>
  <si>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</si>
  <si>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</si>
  <si>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</si>
  <si>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</si>
  <si>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</si>
  <si>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</si>
  <si>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</si>
  <si>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</si>
  <si>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</si>
  <si>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</si>
  <si>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</si>
  <si>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</si>
  <si>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</si>
  <si>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</si>
  <si>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</si>
  <si>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</si>
  <si>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</si>
  <si>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</si>
  <si>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</si>
  <si>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</si>
  <si>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</si>
  <si>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</si>
  <si>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</si>
  <si>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</si>
  <si>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</si>
  <si>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</si>
  <si>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</si>
  <si>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</si>
  <si>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</si>
  <si>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</si>
  <si>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</si>
  <si>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</si>
  <si>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</si>
  <si>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</si>
  <si>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</si>
  <si>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</si>
  <si>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</si>
  <si>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</si>
  <si>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</si>
  <si>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</si>
  <si>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</si>
  <si>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</si>
  <si>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</si>
  <si>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</si>
  <si>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</si>
  <si>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</si>
  <si>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</si>
  <si>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</si>
  <si>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</si>
  <si>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</si>
  <si>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</si>
  <si>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</si>
  <si>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</si>
  <si>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</si>
  <si>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</si>
  <si>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</si>
  <si>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</si>
  <si>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</si>
  <si>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</si>
  <si>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</si>
  <si>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</si>
  <si>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</si>
  <si>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</si>
  <si>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</si>
  <si>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</si>
  <si>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</si>
  <si>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</si>
  <si>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</si>
  <si>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</si>
  <si>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</si>
  <si>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</si>
  <si>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</si>
  <si>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</si>
  <si>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</si>
  <si>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</si>
  <si>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</si>
  <si>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</si>
  <si>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</si>
  <si>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</si>
  <si>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</si>
  <si>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</si>
  <si>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</si>
  <si>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</si>
  <si>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</si>
  <si>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</si>
  <si>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</si>
  <si>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</si>
  <si>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</si>
  <si>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</si>
  <si>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</si>
  <si>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</si>
  <si>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</si>
  <si>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</si>
  <si>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</si>
  <si>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</si>
  <si>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</si>
  <si>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</si>
  <si>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</si>
  <si>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</si>
  <si>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</si>
  <si>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</si>
  <si>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</si>
  <si>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</si>
  <si>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</si>
  <si>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</si>
  <si>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</si>
  <si>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</si>
  <si>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</si>
  <si>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</si>
  <si>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</si>
  <si>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</si>
  <si>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</si>
  <si>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</si>
  <si>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</si>
  <si>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</si>
  <si>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</si>
  <si>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</si>
  <si>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</si>
  <si>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</si>
  <si>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</si>
  <si>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</si>
  <si>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</si>
  <si>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</si>
  <si>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</si>
  <si>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</si>
  <si>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</si>
  <si>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</si>
  <si>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</si>
  <si>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</si>
  <si>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</si>
  <si>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</si>
  <si>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</si>
  <si>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</si>
  <si>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</si>
  <si>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</si>
  <si>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</si>
  <si>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</si>
  <si>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</si>
  <si>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</si>
  <si>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</si>
  <si>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</si>
  <si>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</si>
  <si>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</si>
  <si>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</si>
  <si>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</si>
  <si>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</si>
  <si>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</si>
  <si>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</si>
  <si>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</si>
  <si>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</si>
  <si>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</si>
  <si>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</si>
  <si>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</si>
  <si>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</si>
  <si>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</si>
  <si>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</si>
  <si>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</si>
  <si>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</si>
  <si>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</si>
  <si>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</si>
  <si>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</si>
  <si>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</si>
  <si>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</si>
  <si>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</si>
  <si>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</si>
  <si>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</si>
  <si>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</si>
  <si>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</si>
  <si>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</si>
  <si>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</si>
  <si>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</si>
  <si>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</si>
  <si>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</si>
  <si>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</si>
  <si>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</si>
  <si>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</si>
  <si>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</si>
  <si>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</si>
  <si>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</si>
  <si>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</si>
  <si>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</si>
  <si>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</si>
  <si>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</si>
  <si>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</si>
  <si>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</si>
  <si>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</si>
  <si>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</si>
  <si>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</si>
  <si>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</si>
  <si>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</si>
  <si>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</si>
  <si>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</si>
  <si>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</si>
  <si>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</si>
  <si>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</si>
  <si>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</si>
  <si>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</si>
  <si>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</si>
  <si>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</si>
  <si>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</si>
  <si>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</si>
  <si>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</si>
  <si>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</si>
  <si>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</si>
  <si>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</si>
  <si>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</si>
  <si>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</si>
  <si>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</si>
  <si>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</si>
  <si>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</si>
  <si>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</si>
  <si>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</si>
  <si>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</si>
  <si>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</si>
  <si>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</si>
  <si>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</si>
  <si>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</si>
  <si>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</si>
  <si>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</si>
  <si>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</si>
  <si>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</si>
  <si>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</si>
  <si>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</si>
  <si>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</si>
  <si>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</si>
  <si>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</si>
  <si>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</si>
  <si>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</si>
  <si>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</si>
  <si>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</si>
  <si>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</si>
  <si>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</si>
  <si>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</si>
  <si>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</si>
  <si>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</si>
  <si>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</si>
  <si>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</si>
  <si>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</si>
  <si>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</si>
  <si>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</si>
  <si>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</si>
  <si>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</si>
  <si>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</si>
  <si>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</si>
  <si>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</si>
  <si>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</si>
  <si>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</si>
  <si>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</si>
  <si>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</si>
  <si>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</si>
  <si>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</si>
  <si>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</si>
  <si>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</si>
  <si>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</si>
  <si>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</si>
  <si>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</si>
  <si>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</si>
  <si>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</si>
  <si>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</si>
  <si>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</si>
  <si>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</si>
  <si>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</si>
  <si>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</si>
  <si>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</si>
  <si>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</si>
  <si>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</si>
  <si>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</si>
  <si>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</si>
  <si>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</si>
  <si>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</si>
  <si>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</si>
  <si>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</si>
  <si>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</si>
  <si>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</si>
  <si>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</si>
  <si>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</si>
  <si>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</si>
  <si>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</si>
  <si>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</si>
  <si>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</si>
  <si>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</si>
  <si>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</si>
  <si>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</si>
  <si>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</si>
  <si>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</si>
  <si>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</si>
  <si>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</si>
  <si>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</si>
  <si>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</si>
  <si>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</si>
  <si>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</si>
  <si>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</si>
  <si>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</si>
  <si>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</si>
  <si>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</si>
  <si>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</si>
  <si>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</si>
  <si>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</si>
  <si>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</si>
  <si>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</si>
  <si>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</si>
  <si>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</si>
  <si>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</si>
  <si>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</si>
  <si>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</si>
  <si>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</si>
  <si>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</si>
  <si>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</si>
  <si>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</si>
  <si>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</si>
  <si>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</si>
  <si>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</si>
  <si>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</si>
  <si>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</si>
  <si>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</si>
  <si>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</si>
  <si>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</si>
  <si>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</si>
  <si>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</si>
  <si>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</si>
  <si>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</si>
  <si>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</si>
  <si>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</si>
  <si>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</si>
  <si>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</si>
  <si>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</si>
  <si>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</si>
  <si>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</si>
  <si>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</si>
  <si>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</si>
  <si>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</si>
  <si>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</si>
  <si>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</si>
  <si>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</si>
  <si>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</si>
  <si>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</si>
  <si>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</si>
  <si>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</si>
  <si>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</si>
  <si>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</si>
  <si>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</si>
  <si>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</si>
  <si>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</si>
  <si>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</si>
  <si>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</si>
  <si>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</si>
  <si>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</si>
  <si>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</si>
  <si>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</si>
  <si>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</si>
  <si>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</si>
  <si>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</si>
  <si>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</si>
  <si>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</si>
  <si>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</si>
  <si>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</si>
  <si>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</si>
  <si>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</si>
  <si>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</si>
  <si>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</si>
  <si>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</si>
  <si>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</si>
  <si>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</si>
  <si>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</si>
  <si>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</si>
  <si>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</si>
  <si>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</si>
  <si>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</si>
  <si>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</si>
  <si>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</si>
  <si>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</si>
  <si>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</si>
  <si>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</si>
  <si>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</si>
  <si>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</si>
  <si>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</si>
  <si>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</si>
  <si>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</si>
  <si>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</si>
  <si>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</si>
  <si>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</si>
  <si>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</si>
  <si>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</si>
  <si>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</si>
  <si>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</si>
  <si>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</si>
  <si>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</si>
  <si>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</si>
  <si>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</si>
  <si>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</si>
  <si>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</si>
  <si>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</si>
  <si>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</si>
  <si>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</si>
  <si>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</si>
  <si>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</si>
  <si>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</si>
  <si>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</si>
  <si>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</si>
  <si>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</si>
  <si>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</si>
  <si>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</si>
  <si>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</si>
  <si>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</si>
  <si>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</si>
  <si>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</si>
  <si>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</si>
  <si>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</si>
  <si>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</si>
  <si>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</si>
  <si>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</si>
  <si>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</si>
  <si>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</si>
  <si>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</si>
  <si>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</si>
  <si>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</si>
  <si>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</si>
  <si>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</si>
  <si>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</si>
  <si>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</si>
  <si>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</si>
  <si>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</si>
  <si>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</si>
  <si>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</si>
  <si>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</si>
  <si>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</si>
  <si>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</si>
  <si>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</si>
  <si>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</si>
  <si>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</si>
  <si>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</si>
  <si>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</si>
  <si>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</si>
  <si>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</si>
  <si>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</si>
  <si>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</si>
  <si>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</si>
  <si>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</si>
  <si>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</si>
  <si>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</si>
  <si>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</si>
  <si>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</si>
  <si>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</si>
  <si>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</si>
  <si>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</si>
  <si>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</si>
  <si>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</si>
  <si>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</si>
  <si>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</si>
  <si>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</si>
  <si>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</si>
  <si>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</si>
  <si>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</si>
  <si>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</si>
  <si>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</si>
  <si>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</si>
  <si>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</si>
  <si>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</si>
  <si>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</si>
  <si>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</si>
  <si>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</si>
  <si>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</si>
  <si>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</si>
  <si>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</si>
  <si>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</si>
  <si>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</si>
  <si>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</si>
  <si>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</si>
  <si>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</si>
  <si>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</si>
  <si>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</si>
  <si>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</si>
  <si>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</si>
  <si>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</si>
  <si>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</si>
  <si>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</si>
  <si>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</si>
  <si>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</si>
  <si>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</si>
  <si>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</si>
  <si>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</si>
  <si>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</si>
  <si>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</si>
  <si>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</si>
  <si>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</si>
  <si>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</si>
  <si>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</si>
  <si>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</si>
  <si>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</si>
  <si>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</si>
  <si>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</si>
  <si>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</si>
  <si>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</si>
  <si>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</si>
  <si>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</si>
  <si>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</si>
  <si>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</si>
  <si>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</si>
  <si>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</si>
  <si>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</si>
  <si>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</si>
  <si>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</si>
  <si>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</si>
  <si>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</si>
  <si>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</si>
  <si>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</si>
  <si>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</si>
  <si>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</si>
  <si>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</si>
  <si>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</si>
  <si>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</si>
  <si>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</si>
  <si>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</si>
  <si>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</si>
  <si>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</si>
  <si>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</si>
  <si>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</si>
  <si>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</si>
  <si>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</si>
  <si>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</si>
  <si>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</si>
  <si>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</si>
  <si>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</si>
  <si>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</si>
  <si>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</si>
  <si>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</si>
  <si>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</si>
  <si>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</si>
  <si>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</si>
  <si>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</si>
  <si>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</si>
  <si>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</si>
  <si>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</si>
  <si>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</si>
  <si>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</si>
  <si>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</si>
  <si>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</si>
  <si>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</si>
  <si>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</si>
  <si>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</si>
  <si>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</si>
  <si>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</si>
  <si>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</si>
  <si>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</si>
  <si>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</si>
  <si>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</si>
  <si>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</si>
  <si>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</si>
  <si>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</si>
  <si>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</si>
  <si>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</si>
  <si>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</si>
  <si>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</si>
  <si>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</si>
  <si>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</si>
  <si>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</si>
  <si>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</si>
  <si>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</si>
  <si>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</si>
  <si>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</si>
  <si>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</si>
  <si>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</si>
  <si>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</si>
  <si>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</si>
  <si>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</si>
  <si>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</si>
  <si>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</si>
  <si>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</si>
  <si>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</si>
  <si>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</si>
  <si>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</si>
  <si>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</si>
  <si>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</si>
  <si>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</si>
  <si>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</si>
  <si>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</si>
  <si>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</si>
  <si>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</si>
  <si>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</si>
  <si>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</si>
  <si>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</si>
  <si>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</si>
  <si>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</si>
  <si>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</si>
  <si>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</si>
  <si>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</si>
  <si>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</si>
  <si>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</si>
  <si>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</si>
  <si>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</si>
  <si>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</si>
  <si>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</si>
  <si>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</si>
  <si>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</si>
  <si>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</si>
  <si>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</si>
  <si>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</si>
  <si>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</si>
  <si>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</si>
  <si>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</si>
  <si>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</si>
  <si>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</si>
  <si>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</si>
  <si>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</si>
  <si>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</si>
  <si>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</si>
  <si>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</si>
  <si>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</si>
  <si>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</si>
  <si>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</si>
  <si>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</si>
  <si>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</si>
  <si>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</si>
  <si>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</si>
  <si>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</si>
  <si>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</si>
  <si>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</si>
  <si>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</si>
  <si>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</si>
  <si>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</si>
  <si>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</si>
  <si>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</si>
  <si>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</si>
  <si>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</si>
  <si>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</si>
  <si>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</si>
  <si>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</si>
  <si>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</si>
  <si>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</si>
  <si>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</si>
  <si>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</si>
  <si>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</si>
  <si>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</si>
  <si>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</si>
  <si>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</si>
  <si>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</si>
  <si>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</si>
  <si>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</si>
  <si>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</si>
  <si>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</si>
  <si>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</si>
  <si>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</si>
  <si>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</si>
  <si>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</si>
  <si>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</si>
  <si>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</si>
  <si>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</si>
  <si>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</si>
  <si>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</si>
  <si>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</si>
  <si>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</si>
  <si>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</si>
  <si>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</si>
  <si>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</si>
  <si>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</si>
  <si>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</si>
  <si>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</si>
  <si>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</si>
  <si>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</si>
  <si>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</si>
  <si>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</si>
  <si>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</si>
  <si>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</si>
  <si>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</si>
  <si>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</si>
  <si>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</si>
  <si>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</si>
  <si>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</si>
  <si>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</si>
  <si>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</si>
  <si>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</si>
  <si>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</si>
  <si>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</si>
  <si>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</si>
  <si>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</si>
  <si>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</si>
  <si>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</si>
  <si>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</si>
  <si>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</si>
  <si>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</si>
  <si>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</si>
  <si>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</si>
  <si>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</si>
  <si>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</si>
  <si>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</si>
  <si>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</si>
  <si>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</si>
  <si>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</si>
  <si>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</si>
  <si>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</si>
  <si>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</si>
  <si>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</si>
  <si>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</si>
  <si>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</si>
  <si>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</si>
  <si>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</si>
  <si>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</si>
  <si>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</si>
  <si>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</si>
  <si>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</si>
  <si>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</si>
  <si>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</si>
  <si>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</si>
  <si>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</si>
  <si>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</si>
  <si>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</si>
  <si>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</si>
  <si>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</si>
  <si>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</si>
  <si>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</si>
  <si>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</si>
  <si>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</si>
  <si>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</si>
  <si>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</si>
  <si>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</si>
  <si>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</si>
  <si>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</si>
  <si>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</si>
  <si>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</si>
  <si>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</si>
  <si>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</si>
  <si>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</si>
  <si>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</si>
  <si>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</si>
  <si>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</si>
  <si>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</si>
  <si>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</si>
  <si>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</si>
  <si>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</si>
  <si>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</si>
  <si>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</si>
  <si>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</si>
  <si>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</si>
  <si>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</si>
  <si>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</si>
  <si>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</si>
  <si>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</si>
  <si>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</si>
  <si>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</si>
  <si>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</si>
  <si>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</si>
  <si>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</si>
  <si>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</si>
  <si>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</si>
  <si>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</si>
  <si>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</si>
  <si>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</si>
  <si>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</si>
  <si>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</si>
  <si>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</si>
  <si>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</si>
  <si>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</si>
  <si>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</si>
  <si>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</si>
  <si>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</si>
  <si>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</si>
  <si>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</si>
  <si>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</si>
  <si>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</si>
  <si>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</si>
  <si>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</si>
  <si>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</si>
  <si>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</si>
  <si>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</si>
  <si>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</si>
  <si>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</si>
  <si>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</si>
  <si>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</si>
  <si>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</si>
  <si>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</si>
  <si>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</si>
  <si>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</si>
  <si>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</si>
  <si>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</si>
  <si>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</si>
  <si>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</si>
  <si>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</si>
  <si>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</si>
  <si>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</si>
  <si>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</si>
  <si>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</si>
  <si>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</si>
  <si>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</si>
  <si>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</si>
  <si>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</si>
  <si>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</si>
  <si>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</si>
  <si>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</si>
  <si>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</si>
  <si>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</si>
  <si>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</si>
  <si>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</si>
  <si>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</si>
  <si>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</si>
  <si>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</si>
  <si>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</si>
  <si>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</si>
  <si>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</si>
  <si>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</si>
  <si>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</si>
  <si>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</si>
  <si>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</si>
  <si>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</si>
  <si>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</si>
  <si>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</si>
  <si>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</si>
  <si>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</si>
  <si>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</si>
  <si>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</si>
  <si>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</si>
  <si>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</si>
  <si>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</si>
  <si>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</si>
  <si>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</si>
  <si>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</si>
  <si>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</si>
  <si>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</si>
  <si>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</si>
  <si>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</si>
  <si>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</si>
  <si>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</si>
  <si>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</si>
  <si>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</si>
  <si>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</si>
  <si>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</si>
  <si>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</si>
  <si>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</si>
  <si>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</si>
  <si>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</si>
  <si>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</si>
  <si>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</si>
  <si>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</si>
  <si>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</si>
  <si>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</si>
  <si>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</si>
  <si>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</si>
  <si>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</si>
  <si>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</si>
  <si>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</si>
  <si>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</si>
  <si>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</si>
  <si>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</si>
  <si>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</si>
  <si>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</si>
  <si>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</si>
  <si>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</si>
  <si>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</si>
  <si>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</si>
  <si>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</si>
  <si>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</si>
  <si>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</si>
  <si>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</si>
  <si>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</si>
  <si>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</si>
  <si>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</si>
  <si>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</si>
  <si>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</si>
  <si>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</si>
  <si>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</si>
  <si>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</si>
  <si>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</si>
  <si>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</si>
  <si>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</si>
  <si>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</si>
  <si>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</si>
  <si>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</si>
  <si>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</si>
  <si>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</si>
  <si>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</si>
  <si>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</si>
  <si>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</si>
  <si>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</si>
  <si>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</si>
  <si>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</si>
  <si>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</si>
  <si>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</si>
  <si>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</si>
  <si>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</si>
  <si>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</si>
  <si>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</si>
  <si>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</si>
  <si>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</si>
  <si>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▼ [Lattice Option]</t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</si>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</sst>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17" sqref="A17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21ftW X 8ftH  Aluminium &amp; Glass Standard 7 Panel Supply &amp; Delivery CTW / SF Partition / Z-Louvre N/A Default ▼ [Lattice Option] </v>
      </c>
      <c r="M2" s="124" t="str">
        <f>IF(A11="","",A11)</f>
        <v>Set</v>
      </c>
      <c r="N2" s="124">
        <f>IF(B11="","",B11)</f>
        <v>1</v>
      </c>
      <c r="O2" s="125">
        <f>IF(B37="","",B37)</f>
        <v>1453.9360529217197</v>
      </c>
      <c r="P2" s="125">
        <f>IF(OR(NOT(ISNUMBER(N2)),NOT(ISNUMBER(O2))),"",N2*O2)</f>
        <v>1453.9360529217197</v>
      </c>
      <c r="Q2" s="34"/>
      <c r="AC2" s="81"/>
    </row>
    <row r="3" spans="1:30" x14ac:dyDescent="0.25">
      <c r="A3" s="46" t="s">
        <v>79</v>
      </c>
      <c r="B3" s="27">
        <v>21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8</v>
      </c>
      <c r="C4" s="1"/>
      <c r="D4" t="str" cm="1">
        <f t="array" ref="D4">IFERROR(INDEX(CalcEngine!R:R,SMALL(CalcEngine!P:P,ROW()-3)),"")</f>
        <v>⬒ Default</v>
      </c>
      <c r="E4" s="25"/>
      <c r="F4" s="52" cm="1">
        <f t="array" ref="F4">IF(D4="","",MAX(0,IFERROR(INDEX(CalcEngine!V:V,SMALL(CalcEngine!P:P,ROW()-3)),0)+N(E4)))</f>
        <v>168</v>
      </c>
      <c r="G4" s="2" t="str" cm="1">
        <f t="array" ref="G4">IFERROR(INDEX(CalcEngine!U:U,SMALL(CalcEngine!P:P,ROW()-3)),"")</f>
        <v>Sqft</v>
      </c>
      <c r="H4" s="5" cm="1">
        <f t="array" ref="H4">IFERROR(INDEX(CalcEngine!W:W,SMALL(CalcEngine!P:P,ROW()-3)),"")</f>
        <v>3.9</v>
      </c>
      <c r="I4" s="5">
        <f>IF(AND(ISNUMBER(F4), ISNUMBER(H4)), F4*H4, "")</f>
        <v>655.19999999999993</v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Angle Bracket</v>
      </c>
      <c r="E5" s="25"/>
      <c r="F5" s="52" cm="1">
        <f t="array" ref="F5">IF(D5="","",MAX(0,IFERROR(INDEX(CalcEngine!V:V,SMALL(CalcEngine!P:P,ROW()-3)),0)+N(E5)))</f>
        <v>32</v>
      </c>
      <c r="G5" s="2" t="str" cm="1">
        <f t="array" ref="G5">IFERROR(INDEX(CalcEngine!U:U,SMALL(CalcEngine!P:P,ROW()-3)),"")</f>
        <v>Pcs</v>
      </c>
      <c r="H5" s="5" cm="1">
        <f t="array" ref="H5">IFERROR(INDEX(CalcEngine!W:W,SMALL(CalcEngine!P:P,ROW()-3)),"")</f>
        <v>0.13</v>
      </c>
      <c r="I5" s="5">
        <f t="shared" ref="I5:I30" si="0">IF(AND(ISNUMBER(F5), ISNUMBER(H5)), F5*H5, "")</f>
        <v>4.16</v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21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8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168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7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914.4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03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1989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1791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2121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659.3599999999999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659.3599999999999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3.9247619047619042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>
        <f>IF(AND(ISNUMBER(B37), ISNUMBER(B9), B9&lt;&gt;0), B37/B9, "")</f>
        <v>8.6543812673911891</v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>
        <f>IF(AND(ISNUMBER(B33), ISNUMBER(B32), B33&lt;&gt;0, B32&lt;&gt;1), B33/(1-B32), "")</f>
        <v>1453.9360529217197</v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>
        <f>IF(OR(B37="",B33=""),"",IFERROR(IF(B37-B33=0,"-",B37-B33),""))</f>
        <v>794.57605292171979</v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31.398095238095234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69.235050139129513</v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470.33280000000002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659.3599999999999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0.70029090909090919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56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79" zoomScale="75" zoomScaleNormal="75" workbookViewId="0">
      <selection activeCell="P95" sqref="P95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1.4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1260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1.38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112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1.07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11.063333333333333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546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3.43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112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2.52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12.827500000000002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1.57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497</v>
      </c>
      <c r="W14" s="399">
        <f>IFERROR(IF(V14="","",V14*($W$12+$W$13)),"")</f>
        <v>881.87445792576796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791</v>
      </c>
      <c r="W15" s="399">
        <f t="shared" ref="W15:W16" si="1">IFERROR(IF(V15="","",V15*($W$12+$W$13)),"")</f>
        <v>1403.5466724734054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1141</v>
      </c>
      <c r="W16" s="412">
        <f t="shared" si="1"/>
        <v>2024.5850231253546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154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48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168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7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370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168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154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154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96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[Variant]"</f>
        <v>▼ [Variant]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58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48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58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48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58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48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58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1" spans="1:23" x14ac:dyDescent="0.25">
      <c r="A101" s="274" t="s">
        <v>254</v>
      </c>
      <c r="C101" s="369" t="s">
        <v>1989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48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2" spans="1:23" x14ac:dyDescent="0.25">
      <c r="A102" s="274" t="s">
        <v>254</v>
      </c>
      <c r="C102" s="369" t="s">
        <v>1989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58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48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58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48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1832</v>
      </c>
      <c r="R112" s="16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168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32</v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212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▼ [Lattice Option]</v>
      </c>
      <c r="T162" s="1" t="str">
        <f>IF(Enginuity!$A$21="","",Enginuity!$A$21)</f>
        <v>▼ [Lattice Option]</v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168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28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14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1415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116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96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168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28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14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1415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116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96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168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28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14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1415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116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96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168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28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14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1415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116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96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112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294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254.2204144125958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254.2204144125958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168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28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7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42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12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12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406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406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37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5.86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903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37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37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154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48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168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7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7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370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168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154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154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96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154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48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168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7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7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370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168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154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154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96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154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48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168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7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7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370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168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154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154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96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21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16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21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21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21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154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154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16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168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7">T466</f>
        <v>ML1616 Black Set</v>
      </c>
      <c r="S466" s="1" t="s">
        <v>2135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7"/>
        <v>MSW-8112 TC78 Matt Black Latch Bolt</v>
      </c>
      <c r="S467" s="1" t="s">
        <v>2133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7"/>
        <v>84TR Top Roller 4 Nylon Wheels Black</v>
      </c>
      <c r="S468" s="1" t="s">
        <v>2131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7"/>
        <v>88BG(R) Bottom Guide Exposed Black</v>
      </c>
      <c r="S469" s="1" t="s">
        <v>2150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7"/>
        <v>T28 Black Collapsible Door Handle</v>
      </c>
      <c r="S470" s="1" t="s">
        <v>2127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7"/>
        <v>T29 Folding Door Acc Lockcase Black</v>
      </c>
      <c r="S471" s="1" t="s">
        <v>2129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7"/>
        <v>82MH Folding Door Mid Hinge Black</v>
      </c>
      <c r="S472" s="1" t="s">
        <v>2122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7"/>
        <v>83DH D-Hinge W/Handle Black</v>
      </c>
      <c r="S473" s="1" t="s">
        <v>2125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2137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7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8">T475</f>
        <v>911C Bracket 37.5mm LB Inner &amp; Outer Aluminium Bracket</v>
      </c>
      <c r="S475" s="24" t="s">
        <v>2140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7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 t="shared" si="28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370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8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1415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6" t="str">
        <f t="shared" si="28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IF($V$392="","",$V$392)</f>
        <v>154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2149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IF($V$392="","",$V$392)</f>
        <v>154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96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154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48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168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7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370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168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154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154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96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154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48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168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7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370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168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154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154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96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11.063333333333333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12.827500000000002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2139</v>
      </c>
      <c r="U62" s="1" t="s">
        <v>2140</v>
      </c>
      <c r="V62" s="16" t="s">
        <v>2123</v>
      </c>
      <c r="W62" s="16" t="s">
        <v>2141</v>
      </c>
      <c r="X62" s="369" t="s">
        <v>2142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2122</v>
      </c>
      <c r="V63" s="16" t="s">
        <v>2123</v>
      </c>
      <c r="W63" s="369" t="s">
        <v>2124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2125</v>
      </c>
      <c r="V64" s="16" t="s">
        <v>2123</v>
      </c>
      <c r="W64" s="369" t="s">
        <v>2126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2127</v>
      </c>
      <c r="V65" s="16" t="s">
        <v>2123</v>
      </c>
      <c r="W65" s="369" t="s">
        <v>2128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2129</v>
      </c>
      <c r="V66" s="16" t="s">
        <v>2123</v>
      </c>
      <c r="W66" s="369" t="s">
        <v>2130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2131</v>
      </c>
      <c r="V67" s="16" t="s">
        <v>2123</v>
      </c>
      <c r="W67" s="369" t="s">
        <v>2132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2147</v>
      </c>
      <c r="U68" s="1" t="s">
        <v>2150</v>
      </c>
      <c r="V68" s="16" t="s">
        <v>2123</v>
      </c>
      <c r="W68" s="369" t="s">
        <v>2148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2133</v>
      </c>
      <c r="V69" s="16" t="s">
        <v>2123</v>
      </c>
      <c r="W69" s="369" t="s">
        <v>2134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2135</v>
      </c>
      <c r="V70" s="16" t="s">
        <v>2123</v>
      </c>
      <c r="W70" s="369" t="s">
        <v>2136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2137</v>
      </c>
      <c r="V71" s="16" t="s">
        <v>2123</v>
      </c>
      <c r="W71" s="369" t="s">
        <v>2138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2143</v>
      </c>
      <c r="U72" s="1" t="s">
        <v>2144</v>
      </c>
      <c r="V72" s="16" t="s">
        <v>1973</v>
      </c>
      <c r="W72" s="369" t="s">
        <v>2145</v>
      </c>
      <c r="X72" s="369" t="s">
        <v>2146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2143</v>
      </c>
      <c r="U73" s="1" t="s">
        <v>2144</v>
      </c>
      <c r="V73" s="16" t="s">
        <v>1973</v>
      </c>
      <c r="W73" s="369" t="s">
        <v>2145</v>
      </c>
      <c r="X73" s="369" t="s">
        <v>2146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11.063333333333333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12.827500000000002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7"/>
  <sheetViews>
    <sheetView zoomScale="75" zoomScaleNormal="75" workbookViewId="0">
      <pane ySplit="30" topLeftCell="A31" activePane="bottomLeft" state="frozen"/>
      <selection pane="bottomLeft" activeCell="B42" sqref="B42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[Variant]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SF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SF 3"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F5" t="str">
        <v>SF 4"</v>
      </c>
    </row>
    <row r="6" spans="1:12" x14ac:dyDescent="0.25">
      <c r="C6" t="str">
        <v>Sliding Door Standard</v>
      </c>
      <c r="F6" t="str">
        <v>Z-Louvre Blade - 2"</v>
      </c>
    </row>
    <row r="7" spans="1:12" x14ac:dyDescent="0.25">
      <c r="C7" t="str">
        <v>Sliding Window Economy</v>
      </c>
      <c r="F7" t="str">
        <v>Z-Louvre Blade - 5"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414"/>
    </row>
    <row r="41" spans="2:2" x14ac:dyDescent="0.25">
      <c r="B41" s="369" t="str" cm="1">
        <f t="array" ref="B41">IF(SUMPRODUCT(--(LEN(B42:B80)&gt;0))&gt;0,"▼ [Product Subtype]","")</f>
        <v>▼ [Product Subtype]</v>
      </c>
    </row>
    <row r="42" spans="2:2" x14ac:dyDescent="0.25">
      <c r="B42" t="str" cm="1">
        <f t="array" ref="B42:B47">_xlfn.LET(
_xlpm.r,ROW(CalcEngine!$A$61:$A$5000),
_xlpm.hit,_xlfn._xlws.FILTER(
_xlpm.r,
(TRIM(CalcEngine!$A$61:$A$5000)=TRIM(Enginuity!$A$1))*
(TRIM(CalcEngine!$C$61:$C$5000)=TRIM(Enginuity!$A$18))*
(TRIM(CalcEngine!$D$61:$D$5000)="N/A")
),
_xlpm.top,IFERROR(INDEX(_xlpm.hit,1),0),
_xlpm.hdr,IF(_xlpm.top=0,"",TRIM(INDEX(CalcEngine!$F:$F,_xlpm.top))),
_xlpm.src,IF(OR(_xlpm.top=0,UPPER(_xlpm.hdr)&lt;&gt;"▼ [VARIANT]"),"",INDEX(CalcEngine!$F:$F,_xlpm.top+1):INDEX(CalcEngine!$F:$F,_xlpm.top+29)),
_xlpm.arr,IF(OR(_xlpm.top=0,UPPER(_xlpm.hdr)&lt;&gt;"▼ [VARIANT]"),"",IFERROR(_xlfn.UNIQUE(_xlfn._xlws.FILTER(_xlpm.src,TRIM(_xlpm.src)&lt;&gt;"")),"")),
IF(OR(_xlpm.top=0,UPPER(_xlpm.hdr)&lt;&gt;"▼ [VARIANT]"),"",IFERROR(INDEX(_xlpm.arr,_xlfn.SEQUENCE(MIN(ROWS(_xlpm.arr),39))),""))
)</f>
        <v>Curtain Wall</v>
      </c>
    </row>
    <row r="43" spans="2:2" x14ac:dyDescent="0.25">
      <c r="B43" t="str">
        <v>SF 2"</v>
      </c>
    </row>
    <row r="44" spans="2:2" x14ac:dyDescent="0.25">
      <c r="B44" t="str">
        <v>SF 3"</v>
      </c>
    </row>
    <row r="45" spans="2:2" x14ac:dyDescent="0.25">
      <c r="B45" t="str">
        <v>SF 4"</v>
      </c>
    </row>
    <row r="46" spans="2:2" x14ac:dyDescent="0.25">
      <c r="B46" t="str">
        <v>Z-Louvre Blade - 2"</v>
      </c>
    </row>
    <row r="47" spans="2:2" x14ac:dyDescent="0.25">
      <c r="B4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37</v>
      </c>
      <c r="E2" s="243">
        <v>11.46</v>
      </c>
      <c r="F2" s="104">
        <f>IF(D2*E2=0, "", D2*E2)</f>
        <v>424.02000000000004</v>
      </c>
      <c r="G2" s="18" t="s">
        <v>9</v>
      </c>
      <c r="H2" s="10">
        <f>2*Enginuity!$B$6 + 2*Enginuity!$B$7</f>
        <v>58</v>
      </c>
      <c r="I2" s="17">
        <v>1.1000000000000001</v>
      </c>
      <c r="J2" s="82">
        <f>IF(H2*I2=0, "", H2*I2)</f>
        <v>63.800000000000004</v>
      </c>
      <c r="K2" s="342"/>
      <c r="L2" s="346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58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21</v>
      </c>
      <c r="E3" s="243">
        <v>2.99</v>
      </c>
      <c r="F3" s="104">
        <f t="shared" ref="F3:F49" si="0">IF(D3*E3=0, "", D3*E3)</f>
        <v>62.790000000000006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58</v>
      </c>
      <c r="P3" s="14" t="s">
        <v>266</v>
      </c>
      <c r="Q3" s="82">
        <f>IF(AND(Enginuity!$B$6&gt;0, Enginuity!$B$7&gt;0, Enginuity!$B$13&gt;0), (2 * Enginuity!$B$7 * Enginuity!$B$13) + (2 * Enginuity!$B$6), "")</f>
        <v>154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21</v>
      </c>
      <c r="E4" s="243">
        <v>5.7</v>
      </c>
      <c r="F4" s="104">
        <f t="shared" si="0"/>
        <v>119.7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154</v>
      </c>
      <c r="P4" s="14" t="s">
        <v>263</v>
      </c>
      <c r="Q4" s="82">
        <f>IF(Enginuity!$B$6&gt;0, Enginuity!$B$6, "")</f>
        <v>21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2</v>
      </c>
      <c r="E5" s="243">
        <v>59</v>
      </c>
      <c r="F5" s="104">
        <f t="shared" si="0"/>
        <v>118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308</v>
      </c>
      <c r="P5" s="14" t="s">
        <v>264</v>
      </c>
      <c r="Q5" s="82">
        <f>IF(Enginuity!$B$7&gt;0, Enginuity!$B$7, "")</f>
        <v>8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E6" s="243">
        <v>0.56999999999999995</v>
      </c>
      <c r="F6" s="104">
        <f t="shared" si="0"/>
        <v>95.759999999999991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P6" s="14" t="s">
        <v>265</v>
      </c>
      <c r="Q6" s="82">
        <f>IF(AND(Enginuity!$B$7&gt;0, Enginuity!$B$13&gt;1), (Enginuity!$B$13 - 1) * Enginuity!$B$7, "")</f>
        <v>48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320.20000000000005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7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123.08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P8" s="14" t="s">
        <v>278</v>
      </c>
      <c r="Q8" s="82">
        <f>Enginuity!$B$6*2</f>
        <v>42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119</v>
      </c>
      <c r="E9" s="244">
        <v>1.86</v>
      </c>
      <c r="F9" s="104">
        <f t="shared" si="0"/>
        <v>221.34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7</v>
      </c>
      <c r="P9" s="14" t="s">
        <v>281</v>
      </c>
      <c r="Q9" s="97">
        <f>Enginuity!$B$6</f>
        <v>21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196</v>
      </c>
      <c r="E10" s="244">
        <v>1.86</v>
      </c>
      <c r="F10" s="104">
        <f t="shared" si="0"/>
        <v>364.56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28</v>
      </c>
      <c r="P10" s="14" t="s">
        <v>282</v>
      </c>
      <c r="Q10" s="82">
        <f>Enginuity!$B$6*2</f>
        <v>42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626.64</v>
      </c>
      <c r="F11" s="104">
        <f>IF(D11*E11=0, "", D11*E11)</f>
        <v>626.64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14</v>
      </c>
      <c r="P11" s="14" t="s">
        <v>283</v>
      </c>
      <c r="Q11" s="82">
        <f>Enginuity!$B$6*2</f>
        <v>42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429.52</v>
      </c>
      <c r="F12" s="104">
        <f>IF(D12*E12=0, "", D12*E12)</f>
        <v>429.52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84</v>
      </c>
      <c r="P12" s="14" t="s">
        <v>284</v>
      </c>
      <c r="Q12" s="97">
        <f>Enginuity!$B$6</f>
        <v>21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28</v>
      </c>
      <c r="P13" s="14" t="s">
        <v>285</v>
      </c>
      <c r="Q13" s="82">
        <f>Enginuity!$B$6*2</f>
        <v>42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28</v>
      </c>
      <c r="P14" s="14" t="s">
        <v>286</v>
      </c>
      <c r="Q14" s="82">
        <f>IF(Enginuity!$B$7&gt;0, 2 * Enginuity!$B$7, "")</f>
        <v>16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16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16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21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21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56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56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8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16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16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58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154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48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▼ [Lattice Option]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58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154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48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▼ [Lattice Option]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58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154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308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7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7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21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21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16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42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42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16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21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21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56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56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8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▼ [Lattice Option]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21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21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16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42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42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16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21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21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56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56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8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▼ [Lattice Option]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58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154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308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7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28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14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21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21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16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42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42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16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21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21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56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56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8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▼ [Lattice Option]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21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21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16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42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42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16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21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21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56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56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8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▼ [Lattice Option]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58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154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308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7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28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14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42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16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21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16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84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154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16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42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16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21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16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84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154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16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308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7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14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14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42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6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6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154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16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▼ [Lattice Option]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424.02000000000004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154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16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▼ [Lattice Option]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308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28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7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42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6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6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37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37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58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58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21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48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▼ [Lattice Option]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58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21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48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▼ [Lattice Option]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308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58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21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48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▼ [Lattice Option]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58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21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48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▼ [Lattice Option]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308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64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21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8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58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84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168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168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168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168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64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21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8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58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84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168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168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168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168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56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21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58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168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58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58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58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168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56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168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168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168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56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5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4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4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58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11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11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58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56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7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14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15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15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56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58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52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4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4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58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52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4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4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7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7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58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154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48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154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56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▼ [Lattice Option]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58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154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308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7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7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28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28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28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35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35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14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14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7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58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154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48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56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▼ [Lattice Option]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58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154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308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7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7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28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35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35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14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14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7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58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154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48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56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▼ [Lattice Option]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58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154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308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7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7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28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35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35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14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14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7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21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21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16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154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16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56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▼ [Lattice Option]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58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154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308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1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3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28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3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22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3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8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21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21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16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42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42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16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21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21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56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56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16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▼ [Lattice Option]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58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154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308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28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7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14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28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14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21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21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16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42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42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16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21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21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56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56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16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▼ [Lattice Option]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58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154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308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28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28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168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56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154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2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7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6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58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154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48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21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504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52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154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37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37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154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8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504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52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28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168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84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42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21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21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16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37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154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504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504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52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14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168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84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168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7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3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7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168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7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7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3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179.2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504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52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4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14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52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4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14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4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2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52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3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3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14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37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21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48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30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2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11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3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2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21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37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21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48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30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11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3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2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21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46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7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▼ [Lattice Option]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46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7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▼ [Lattice Option]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46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7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▼ [Lattice Option]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58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154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48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58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154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48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154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12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46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7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▼ [Lattice Option]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46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7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▼ [Lattice Option]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129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▼ [Lattice Option]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764.03250000000003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242.54999999999998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▼ [Lattice Option]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21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▼ [Lattice Option]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58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58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58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58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58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58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58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58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58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58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58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58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168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21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7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▼ [Lattice Option]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46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7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▼ [Lattice Option]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21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21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168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308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58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154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308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7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7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28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28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28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35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35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14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14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7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21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21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16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154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16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56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▼ [Lattice Option]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58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154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308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1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3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28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3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22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3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8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37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406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8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56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▼ [Lattice Option]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37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812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1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28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35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6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8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14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13199.4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58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406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406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112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7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7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7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14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7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56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56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14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140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140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812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812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13199.4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189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376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25 Blade 4" Adjustable Altair Louver</v>
      </c>
      <c r="Q1785" s="82">
        <f>IFERROR(MAX(1, ROUNDUP(VALUE(Enginuity!$B$13), 0)), 1)</f>
        <v>7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5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17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17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119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2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32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13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70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3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4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5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2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2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1468.8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21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21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16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42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42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16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21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21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56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56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8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▼ [Lattice Option]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21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21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16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42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42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16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21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21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56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56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8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▼ [Lattice Option]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58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154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308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7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28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14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58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154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48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58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154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48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154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424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12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▼ [Lattice Option]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136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136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1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31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29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29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2" t="s">
        <v>1511</v>
      </c>
      <c r="G3" s="433"/>
      <c r="H3" s="433"/>
      <c r="I3" s="434"/>
      <c r="Q3" s="257" t="s">
        <v>1474</v>
      </c>
      <c r="R3" s="258">
        <v>25</v>
      </c>
      <c r="S3" s="268"/>
      <c r="V3" s="435" t="s">
        <v>1475</v>
      </c>
      <c r="W3" s="436"/>
      <c r="X3" s="436"/>
      <c r="Y3" s="437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2" t="s">
        <v>1510</v>
      </c>
      <c r="G7" s="433"/>
      <c r="H7" s="433"/>
      <c r="I7" s="434"/>
      <c r="Q7" s="257" t="s">
        <v>1483</v>
      </c>
      <c r="R7" s="262" t="s">
        <v>1479</v>
      </c>
      <c r="S7" s="268"/>
      <c r="V7" s="435" t="s">
        <v>1484</v>
      </c>
      <c r="W7" s="436"/>
      <c r="X7" s="436"/>
      <c r="Y7" s="437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29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29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30</v>
      </c>
      <c r="J3" s="327">
        <f>$C$39</f>
        <v>7</v>
      </c>
      <c r="K3" s="327">
        <f>$C$40</f>
        <v>6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30</v>
      </c>
      <c r="R3" s="328">
        <f t="shared" ref="R3:S5" si="1">J3</f>
        <v>7</v>
      </c>
      <c r="S3" s="328">
        <f t="shared" si="1"/>
        <v>6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6400.8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30</v>
      </c>
      <c r="J4" s="358">
        <f>$C$39</f>
        <v>7</v>
      </c>
      <c r="K4" s="327">
        <f t="shared" ref="K4:K12" si="3">$C$40</f>
        <v>6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30</v>
      </c>
      <c r="R4" s="328">
        <f t="shared" si="1"/>
        <v>7</v>
      </c>
      <c r="S4" s="328">
        <f t="shared" si="1"/>
        <v>6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2438.4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30</v>
      </c>
      <c r="J5" s="327">
        <f t="shared" ref="J5:J12" si="7">$C$39</f>
        <v>7</v>
      </c>
      <c r="K5" s="327">
        <f t="shared" si="3"/>
        <v>6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30</v>
      </c>
      <c r="R5" s="328">
        <f t="shared" si="1"/>
        <v>7</v>
      </c>
      <c r="S5" s="328">
        <f t="shared" si="1"/>
        <v>6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7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30</v>
      </c>
      <c r="J6" s="327">
        <f t="shared" si="7"/>
        <v>7</v>
      </c>
      <c r="K6" s="327">
        <f t="shared" si="3"/>
        <v>6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30</v>
      </c>
      <c r="J7" s="327">
        <f t="shared" si="7"/>
        <v>7</v>
      </c>
      <c r="K7" s="327">
        <f t="shared" si="3"/>
        <v>6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30</v>
      </c>
      <c r="J8" s="327">
        <f t="shared" si="7"/>
        <v>7</v>
      </c>
      <c r="K8" s="327">
        <f t="shared" si="3"/>
        <v>6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30</v>
      </c>
      <c r="J9" s="327">
        <f t="shared" si="7"/>
        <v>7</v>
      </c>
      <c r="K9" s="327">
        <f t="shared" si="3"/>
        <v>6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30</v>
      </c>
      <c r="J10" s="327">
        <f t="shared" si="7"/>
        <v>7</v>
      </c>
      <c r="K10" s="327">
        <f t="shared" si="3"/>
        <v>6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175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30</v>
      </c>
      <c r="J11" s="327">
        <f t="shared" si="7"/>
        <v>7</v>
      </c>
      <c r="K11" s="327">
        <f t="shared" si="3"/>
        <v>6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30</v>
      </c>
      <c r="J12" s="327">
        <f t="shared" si="7"/>
        <v>7</v>
      </c>
      <c r="K12" s="327">
        <f t="shared" si="3"/>
        <v>6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270</v>
      </c>
      <c r="J15" s="93">
        <f>SUM(J3:J11)</f>
        <v>63</v>
      </c>
      <c r="K15" s="93">
        <f>SUM(K3:K11)</f>
        <v>54</v>
      </c>
      <c r="L15" s="281"/>
      <c r="O15" s="1"/>
      <c r="P15" s="1"/>
      <c r="Q15" s="93">
        <f>SUM(Q3:Q12)</f>
        <v>90</v>
      </c>
      <c r="R15" s="93">
        <f>SUM(R3:R11)</f>
        <v>21</v>
      </c>
      <c r="S15" s="93">
        <f>SUM(S3:S11)</f>
        <v>18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9.3333333333333339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1.1666666666666667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1.3416666666666666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25</v>
      </c>
      <c r="C25" s="361">
        <f>B25*$B$6</f>
        <v>175</v>
      </c>
    </row>
    <row r="26" spans="1:40" x14ac:dyDescent="0.25">
      <c r="A26" s="337" t="s">
        <v>1719</v>
      </c>
      <c r="B26" s="356">
        <f>IF(OR($C$49="",$B$6=""),"",ROUND(($C$49/$B$6)-(2*$B$18),3))</f>
        <v>905.14300000000003</v>
      </c>
      <c r="C26" s="361">
        <f>B26</f>
        <v>905.14300000000003</v>
      </c>
    </row>
    <row r="27" spans="1:40" x14ac:dyDescent="0.25">
      <c r="A27" s="337" t="s">
        <v>1720</v>
      </c>
      <c r="B27" s="356">
        <f>$C$46</f>
        <v>94.416666666666671</v>
      </c>
      <c r="C27" s="361">
        <f>B27</f>
        <v>94.416666666666671</v>
      </c>
    </row>
    <row r="28" spans="1:40" x14ac:dyDescent="0.25">
      <c r="A28" s="337" t="s">
        <v>1721</v>
      </c>
      <c r="B28" s="362">
        <f>$C$47</f>
        <v>94.416666666666671</v>
      </c>
      <c r="C28" s="381">
        <f>B28</f>
        <v>94.416666666666671</v>
      </c>
    </row>
    <row r="29" spans="1:40" x14ac:dyDescent="0.25">
      <c r="A29" s="337" t="s">
        <v>1722</v>
      </c>
      <c r="B29" s="363">
        <f>ROUND($C$48,10)</f>
        <v>94.416666666699996</v>
      </c>
      <c r="C29" s="364">
        <f>B29</f>
        <v>94.416666666699996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14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2387.6</v>
      </c>
      <c r="C31" s="365">
        <f>B31</f>
        <v>2387.6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2438.4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6350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6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2387.6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4.2859999999999996</v>
      </c>
      <c r="C38" s="361">
        <f>$C$57</f>
        <v>30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1</v>
      </c>
      <c r="C39" s="361">
        <f>$C$58</f>
        <v>7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0.85699999999999998</v>
      </c>
      <c r="C40" s="361">
        <f>$C$61</f>
        <v>6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94.416666666666671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94.416666666666671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94.416666666699996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6350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2387.6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2438.4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6350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6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2387.6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30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7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3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6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29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29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2026-04-21T02:13:21Z</dcterms:modified>
</cp:coreProperties>
</file>