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FA95D19C-FF0E-406F-8B76-F422DEE7C839}" xr6:coauthVersionLast="47" xr6:coauthVersionMax="47" xr10:uidLastSave="{00000000-0000-0000-0000-000000000000}"/>
  <bookViews>
    <workbookView xWindow="57480" yWindow="-120" windowWidth="29040" windowHeight="15840" activeTab="4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9" i="38" l="1"/>
  <c r="B42" i="19" a="1"/>
  <c r="F1" i="19" a="1"/>
  <c r="F1" i="19" s="1"/>
  <c r="B42" i="19" l="1"/>
  <c r="F2" i="19" s="1" a="1"/>
  <c r="F91" i="38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F2" i="19" l="1"/>
  <c r="AC73" i="36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B15" i="1" l="1" a="1"/>
  <c r="B15" i="1" s="1"/>
  <c r="B17" i="1" a="1"/>
  <c r="B17" i="1" s="1"/>
  <c r="B32" i="1" a="1"/>
  <c r="B32" i="1" s="1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30" i="38" l="1" a="1"/>
  <c r="W330" i="38" s="1"/>
  <c r="W311" i="38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V295" i="38" l="1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Q3" i="35" l="1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<sst xmlns="http://schemas.openxmlformats.org/spreadsheetml/2006/main" count="12237" uniqueCount="2153">
  <si>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</si>
  <si>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</si>
  <si>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</si>
  <si>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</si>
  <si>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</si>
  <si>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</si>
  <si>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</si>
  <si>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</si>
  <si>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</si>
  <si>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</si>
  <si>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</si>
  <si>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</si>
  <si>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</si>
  <si>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</si>
  <si>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</si>
  <si>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</si>
  <si>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</si>
  <si>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</si>
  <si>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</si>
  <si>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</si>
  <si>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</si>
  <si>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</si>
  <si>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</si>
  <si>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</si>
  <si>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</si>
  <si>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</si>
  <si>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</si>
  <si>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</si>
  <si>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</si>
  <si>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</si>
  <si>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</si>
  <si>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</si>
  <si>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</si>
  <si>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</si>
  <si>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</si>
  <si>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</si>
  <si>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</si>
  <si>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</si>
  <si>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</si>
  <si>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</si>
  <si>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</si>
  <si>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</si>
  <si>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</si>
  <si>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</si>
  <si>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</si>
  <si>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</si>
  <si>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</si>
  <si>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</si>
  <si>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</si>
  <si>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</si>
  <si>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</si>
  <si>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</si>
  <si>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</si>
  <si>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</si>
  <si>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</si>
  <si>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</si>
  <si>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</si>
  <si>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</si>
  <si>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</si>
  <si>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</si>
  <si>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</si>
  <si>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</si>
  <si>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</si>
  <si>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</si>
  <si>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</si>
  <si>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</si>
  <si>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</si>
  <si>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</si>
  <si>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</si>
  <si>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</si>
  <si>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</si>
  <si>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</si>
  <si>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</si>
  <si>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</si>
  <si>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</si>
  <si>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</si>
  <si>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</si>
  <si>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</si>
  <si>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</si>
  <si>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</si>
  <si>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</si>
  <si>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</si>
  <si>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</si>
  <si>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</si>
  <si>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</si>
  <si>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</si>
  <si>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</si>
  <si>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</si>
  <si>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</si>
  <si>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</si>
  <si>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</si>
  <si>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</si>
  <si>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</si>
  <si>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</si>
  <si>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</si>
  <si>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</si>
  <si>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</si>
  <si>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</si>
  <si>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</si>
  <si>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</si>
  <si>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</si>
  <si>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</si>
  <si>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</si>
  <si>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</si>
  <si>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</si>
  <si>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</si>
  <si>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</si>
  <si>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</si>
  <si>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</si>
  <si>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</si>
  <si>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</si>
  <si>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</si>
  <si>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</si>
  <si>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</si>
  <si>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</si>
  <si>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</si>
  <si>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</si>
  <si>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</si>
  <si>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</si>
  <si>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</si>
  <si>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</si>
  <si>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</si>
  <si>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</si>
  <si>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</si>
  <si>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</si>
  <si>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</si>
  <si>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</si>
  <si>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</si>
  <si>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</si>
  <si>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</si>
  <si>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</si>
  <si>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</si>
  <si>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</si>
  <si>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</si>
  <si>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</si>
  <si>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</si>
  <si>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</si>
  <si>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</si>
  <si>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</si>
  <si>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</si>
  <si>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</si>
  <si>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</si>
  <si>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</si>
  <si>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</si>
  <si>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</si>
  <si>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</si>
  <si>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</si>
  <si>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</si>
  <si>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</si>
  <si>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</si>
  <si>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</si>
  <si>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</si>
  <si>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</si>
  <si>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</si>
  <si>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</si>
  <si>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</si>
  <si>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</si>
  <si>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</si>
  <si>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</si>
  <si>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</si>
  <si>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</si>
  <si>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</si>
  <si>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</si>
  <si>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</si>
  <si>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</si>
  <si>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</si>
  <si>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</si>
  <si>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</si>
  <si>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</si>
  <si>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</si>
  <si>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</si>
  <si>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</si>
  <si>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</si>
  <si>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</si>
  <si>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</si>
  <si>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</si>
  <si>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</si>
  <si>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</si>
  <si>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</si>
  <si>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</si>
  <si>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</si>
  <si>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</si>
  <si>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</si>
  <si>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</si>
  <si>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</si>
  <si>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</si>
  <si>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</si>
  <si>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</si>
  <si>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</si>
  <si>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</si>
  <si>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</si>
  <si>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</si>
  <si>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</si>
  <si>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</si>
  <si>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</si>
  <si>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</si>
  <si>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</si>
  <si>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</si>
  <si>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</si>
  <si>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</si>
  <si>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</si>
  <si>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</si>
  <si>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</si>
  <si>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</si>
  <si>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</si>
  <si>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</si>
  <si>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</si>
  <si>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</si>
  <si>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</si>
  <si>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</si>
  <si>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</si>
  <si>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</si>
  <si>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</si>
  <si>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</si>
  <si>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</si>
  <si>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</si>
  <si>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</si>
  <si>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</si>
  <si>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</si>
  <si>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</si>
  <si>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</si>
  <si>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</si>
  <si>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</si>
  <si>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</si>
  <si>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</si>
  <si>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</si>
  <si>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</si>
  <si>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</si>
  <si>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</si>
  <si>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</si>
  <si>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</si>
  <si>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</si>
  <si>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</si>
  <si>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</si>
  <si>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</si>
  <si>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</si>
  <si>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</si>
  <si>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</si>
  <si>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</si>
  <si>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</si>
  <si>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</si>
  <si>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</si>
  <si>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</si>
  <si>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</si>
  <si>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</si>
  <si>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</si>
  <si>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</si>
  <si>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</si>
  <si>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</si>
  <si>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</si>
  <si>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</si>
  <si>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</si>
  <si>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</si>
  <si>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</si>
  <si>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</si>
  <si>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</si>
  <si>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</si>
  <si>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</si>
  <si>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</si>
  <si>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</si>
  <si>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</si>
  <si>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</si>
  <si>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</si>
  <si>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</si>
  <si>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</si>
  <si>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</si>
  <si>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</si>
  <si>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</si>
  <si>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</si>
  <si>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</si>
  <si>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</si>
  <si>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</si>
  <si>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</si>
  <si>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</si>
  <si>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</si>
  <si>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</si>
  <si>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</si>
  <si>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</si>
  <si>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</si>
  <si>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</si>
  <si>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</si>
  <si>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</si>
  <si>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</si>
  <si>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</si>
  <si>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</si>
  <si>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</si>
  <si>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</si>
  <si>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</si>
  <si>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</si>
  <si>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</si>
  <si>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</si>
  <si>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</si>
  <si>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</si>
  <si>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</si>
  <si>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</si>
  <si>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</si>
  <si>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</si>
  <si>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</si>
  <si>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</si>
  <si>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</si>
  <si>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</si>
  <si>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</si>
  <si>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</si>
  <si>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</si>
  <si>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</si>
  <si>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</si>
  <si>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</si>
  <si>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</si>
  <si>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</si>
  <si>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</si>
  <si>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</si>
  <si>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</si>
  <si>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</si>
  <si>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</si>
  <si>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</si>
  <si>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</si>
  <si>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</si>
  <si>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</si>
  <si>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</si>
  <si>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</si>
  <si>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</si>
  <si>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</si>
  <si>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</si>
  <si>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</si>
  <si>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</si>
  <si>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</si>
  <si>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</si>
  <si>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</si>
  <si>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</si>
  <si>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</si>
  <si>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</si>
  <si>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</si>
  <si>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</si>
  <si>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</si>
  <si>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</si>
  <si>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</si>
  <si>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</si>
  <si>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</si>
  <si>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</si>
  <si>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</si>
  <si>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</si>
  <si>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</si>
  <si>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</si>
  <si>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</si>
  <si>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</si>
  <si>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</si>
  <si>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</si>
  <si>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</si>
  <si>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</si>
  <si>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</si>
  <si>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</si>
  <si>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</si>
  <si>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</si>
  <si>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</si>
  <si>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</si>
  <si>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</si>
  <si>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</si>
  <si>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</si>
  <si>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</si>
  <si>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</si>
  <si>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</si>
  <si>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</si>
  <si>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</si>
  <si>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</si>
  <si>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</si>
  <si>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</si>
  <si>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</si>
  <si>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</si>
  <si>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</si>
  <si>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</si>
  <si>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</si>
  <si>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</si>
  <si>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</si>
  <si>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</si>
  <si>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</si>
  <si>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</si>
  <si>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</si>
  <si>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</si>
  <si>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</si>
  <si>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</si>
  <si>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</si>
  <si>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</si>
  <si>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</si>
  <si>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</si>
  <si>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</si>
  <si>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</si>
  <si>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</si>
  <si>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</si>
  <si>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</si>
  <si>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</si>
  <si>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</si>
  <si>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</si>
  <si>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</si>
  <si>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</si>
  <si>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</si>
  <si>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</si>
  <si>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</si>
  <si>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</si>
  <si>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</si>
  <si>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</si>
  <si>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</si>
  <si>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</si>
  <si>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</si>
  <si>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</si>
  <si>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</si>
  <si>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</si>
  <si>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</si>
  <si>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</si>
  <si>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</si>
  <si>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</si>
  <si>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</si>
  <si>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</si>
  <si>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</si>
  <si>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</si>
  <si>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</si>
  <si>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</si>
  <si>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</si>
  <si>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</si>
  <si>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</si>
  <si>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</si>
  <si>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</si>
  <si>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</si>
  <si>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</si>
  <si>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</si>
  <si>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</si>
  <si>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</si>
  <si>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</si>
  <si>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</si>
  <si>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</si>
  <si>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</si>
  <si>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</si>
  <si>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</si>
  <si>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</si>
  <si>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</si>
  <si>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</si>
  <si>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</si>
  <si>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</si>
  <si>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</si>
  <si>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</si>
  <si>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</si>
  <si>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</si>
  <si>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</si>
  <si>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</si>
  <si>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</si>
  <si>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</si>
  <si>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</si>
  <si>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</si>
  <si>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</si>
  <si>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</si>
  <si>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</si>
  <si>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</si>
  <si>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</si>
  <si>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</si>
  <si>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</si>
  <si>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</si>
  <si>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</si>
  <si>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</si>
  <si>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</si>
  <si>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</si>
  <si>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</si>
  <si>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</si>
  <si>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</si>
  <si>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</si>
  <si>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</si>
  <si>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</si>
  <si>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</si>
  <si>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</si>
  <si>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</si>
  <si>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</si>
  <si>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</si>
  <si>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</si>
  <si>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</si>
  <si>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</si>
  <si>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</si>
  <si>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</si>
  <si>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</si>
  <si>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</si>
  <si>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</si>
  <si>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</si>
  <si>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</si>
  <si>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</si>
  <si>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</si>
  <si>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</si>
  <si>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</si>
  <si>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</si>
  <si>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</si>
  <si>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</si>
  <si>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</si>
  <si>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</si>
  <si>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</si>
  <si>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</si>
  <si>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</si>
  <si>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</si>
  <si>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</si>
  <si>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</si>
  <si>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</si>
  <si>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</si>
  <si>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</si>
  <si>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</si>
  <si>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</si>
  <si>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</si>
  <si>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</si>
  <si>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</si>
  <si>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</si>
  <si>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</si>
  <si>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</si>
  <si>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</si>
  <si>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</si>
  <si>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</si>
  <si>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</si>
  <si>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</si>
  <si>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</si>
  <si>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</si>
  <si>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</si>
  <si>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</si>
  <si>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</si>
  <si>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</si>
  <si>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</si>
  <si>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</si>
  <si>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</si>
  <si>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</si>
  <si>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</si>
  <si>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</si>
  <si>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</si>
  <si>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</si>
  <si>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</si>
  <si>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</si>
  <si>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</si>
  <si>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</si>
  <si>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</si>
  <si>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</si>
  <si>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</si>
  <si>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</si>
  <si>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</si>
  <si>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</si>
  <si>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</si>
  <si>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</si>
  <si>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</si>
  <si>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</si>
  <si>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</si>
  <si>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</si>
  <si>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</si>
  <si>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</si>
  <si>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</si>
  <si>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</si>
  <si>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</si>
  <si>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</si>
  <si>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</si>
  <si>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</si>
  <si>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</si>
  <si>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</si>
  <si>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</si>
  <si>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</si>
  <si>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</si>
  <si>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</si>
  <si>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</si>
  <si>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</si>
  <si>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</si>
  <si>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</si>
  <si>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</si>
  <si>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</si>
  <si>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</si>
  <si>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</si>
  <si>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</si>
  <si>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</si>
  <si>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</si>
  <si>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</si>
  <si>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</si>
  <si>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</si>
  <si>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</si>
  <si>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</si>
  <si>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</si>
  <si>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</si>
  <si>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</si>
  <si>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</si>
  <si>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</si>
  <si>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</si>
  <si>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</si>
  <si>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</si>
  <si>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</si>
  <si>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</si>
  <si>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</si>
  <si>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</si>
  <si>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</si>
  <si>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</si>
  <si>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</si>
  <si>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</si>
  <si>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</si>
  <si>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</si>
  <si>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</si>
  <si>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</si>
  <si>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</si>
  <si>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</si>
  <si>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</si>
  <si>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</si>
  <si>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</si>
  <si>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</si>
  <si>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</si>
  <si>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</si>
  <si>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</si>
  <si>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</si>
  <si>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</si>
  <si>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</si>
  <si>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</si>
  <si>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</si>
  <si>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</si>
  <si>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</si>
  <si>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</si>
  <si>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</si>
  <si>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</si>
  <si>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</si>
  <si>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</si>
  <si>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</si>
  <si>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</si>
  <si>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</si>
  <si>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</si>
  <si>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</si>
  <si>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</si>
  <si>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</si>
  <si>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</si>
  <si>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</si>
  <si>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</si>
  <si>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</si>
  <si>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</si>
  <si>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</si>
  <si>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</si>
  <si>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</si>
  <si>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</si>
  <si>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</si>
  <si>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</si>
  <si>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</si>
  <si>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</si>
  <si>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</si>
  <si>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</si>
  <si>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</si>
  <si>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</si>
  <si>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</si>
  <si>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</si>
  <si>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</si>
  <si>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</si>
  <si>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</si>
  <si>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</si>
  <si>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</si>
  <si>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</si>
  <si>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</si>
  <si>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</si>
  <si>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</si>
  <si>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</si>
  <si>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</si>
  <si>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</si>
  <si>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</si>
  <si>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</si>
  <si>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</si>
  <si>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</si>
  <si>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</si>
  <si>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</si>
  <si>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</si>
  <si>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</si>
  <si>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</si>
  <si>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</si>
  <si>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</si>
  <si>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</si>
  <si>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</si>
  <si>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</si>
  <si>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</si>
  <si>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</si>
  <si>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</si>
  <si>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</si>
  <si>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</si>
  <si>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</si>
  <si>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</si>
  <si>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</si>
  <si>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</si>
  <si>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</si>
  <si>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</si>
  <si>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</si>
  <si>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</si>
  <si>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</si>
  <si>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</si>
  <si>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</si>
  <si>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</si>
  <si>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</si>
  <si>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</si>
  <si>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</si>
  <si>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</si>
  <si>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</si>
  <si>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</si>
  <si>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</si>
  <si>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</si>
  <si>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</si>
  <si>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</si>
  <si>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</si>
  <si>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</si>
  <si>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</si>
  <si>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</si>
  <si>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</si>
  <si>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</si>
  <si>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</si>
  <si>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</si>
  <si>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</si>
  <si>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</si>
  <si>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</si>
  <si>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</si>
  <si>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</si>
  <si>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</si>
  <si>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</si>
  <si>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</si>
  <si>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</si>
  <si>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</si>
  <si>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</si>
  <si>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</si>
  <si>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</si>
  <si>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</si>
  <si>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</si>
  <si>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</si>
  <si>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</si>
  <si>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</si>
  <si>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</si>
  <si>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</si>
  <si>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</si>
  <si>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</si>
  <si>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</si>
  <si>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</si>
  <si>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</si>
  <si>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</si>
  <si>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</si>
  <si>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</si>
  <si>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</si>
  <si>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</si>
  <si>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</si>
  <si>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</si>
  <si>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</si>
  <si>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</si>
  <si>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</si>
  <si>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</si>
  <si>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</si>
  <si>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</si>
  <si>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</si>
  <si>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</si>
  <si>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</si>
  <si>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</si>
  <si>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</si>
  <si>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</si>
  <si>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</si>
  <si>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</si>
  <si>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</si>
  <si>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</si>
  <si>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</si>
  <si>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</si>
  <si>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</si>
  <si>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</si>
  <si>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</si>
  <si>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</si>
  <si>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</si>
  <si>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</si>
  <si>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</si>
  <si>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</si>
  <si>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</si>
  <si>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</si>
  <si>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</si>
  <si>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</si>
  <si>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</si>
  <si>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</si>
  <si>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</si>
  <si>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</si>
  <si>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</si>
  <si>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</si>
  <si>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</si>
  <si>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</si>
  <si>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</si>
  <si>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</si>
  <si>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</si>
  <si>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</si>
  <si>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</si>
  <si>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</si>
  <si>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</si>
  <si>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</si>
  <si>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</si>
  <si>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</si>
  <si>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</si>
  <si>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</si>
  <si>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</si>
  <si>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</si>
  <si>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</si>
  <si>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</si>
  <si>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</si>
  <si>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</si>
  <si>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</si>
  <si>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</si>
  <si>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</si>
  <si>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</si>
  <si>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</si>
  <si>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</si>
  <si>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</si>
  <si>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</si>
  <si>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</si>
  <si>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</si>
  <si>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</si>
  <si>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</si>
  <si>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</si>
  <si>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</si>
  <si>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</si>
  <si>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</si>
  <si>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</si>
  <si>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</si>
  <si>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</si>
  <si>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</si>
  <si>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</si>
  <si>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</si>
  <si>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</si>
  <si>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</si>
  <si>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</si>
  <si>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</si>
  <si>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</si>
  <si>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</si>
  <si>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</si>
  <si>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</si>
  <si>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</si>
  <si>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</si>
  <si>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</si>
  <si>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</si>
  <si>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</si>
  <si>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</si>
  <si>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</si>
  <si>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</si>
  <si>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</si>
  <si>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</si>
  <si>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</si>
  <si>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</si>
  <si>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</si>
  <si>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</si>
  <si>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</si>
  <si>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</si>
  <si>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</si>
  <si>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</si>
  <si>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</si>
  <si>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</si>
  <si>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</si>
  <si>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</si>
  <si>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</si>
  <si>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</si>
  <si>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</si>
  <si>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</si>
  <si>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</si>
  <si>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</si>
  <si>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</si>
  <si>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</si>
  <si>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</si>
  <si>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</si>
  <si>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</si>
  <si>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</si>
  <si>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</si>
  <si>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</si>
  <si>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</si>
  <si>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</si>
  <si>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</si>
  <si>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</si>
  <si>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</si>
  <si>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</si>
  <si>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</si>
  <si>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</si>
  <si>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</si>
  <si>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</si>
  <si>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</si>
  <si>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</si>
  <si>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</si>
  <si>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</si>
  <si>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</si>
  <si>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</si>
  <si>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</si>
  <si>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</si>
  <si>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</si>
  <si>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</si>
  <si>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</si>
  <si>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</si>
  <si>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</si>
  <si>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</si>
  <si>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</si>
  <si>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</si>
  <si>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</si>
  <si>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</si>
  <si>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</si>
  <si>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</si>
  <si>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</si>
  <si>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</si>
  <si>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</si>
  <si>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</si>
  <si>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</si>
  <si>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</si>
  <si>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</si>
  <si>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</si>
  <si>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</si>
  <si>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</si>
  <si>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</si>
  <si>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</si>
  <si>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</si>
  <si>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</si>
  <si>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</si>
  <si>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</si>
  <si>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</si>
  <si>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</si>
  <si>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</si>
  <si>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</si>
  <si>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</si>
  <si>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</si>
  <si>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</si>
  <si>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</si>
  <si>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</si>
  <si>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</si>
  <si>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</si>
  <si>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</si>
  <si>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</si>
  <si>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</si>
  <si>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</si>
  <si>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</si>
  <si>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</si>
  <si>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</si>
  <si>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</si>
  <si>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</si>
  <si>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</si>
  <si>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</si>
  <si>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</si>
  <si>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</si>
  <si>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</si>
  <si>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</si>
  <si>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</si>
  <si>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</si>
  <si>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</si>
  <si>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</si>
  <si>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</si>
  <si>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</si>
  <si>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</si>
  <si>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</si>
  <si>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</si>
  <si>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</si>
  <si>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</si>
  <si>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</si>
  <si>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</si>
  <si>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</si>
  <si>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</si>
  <si>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</si>
  <si>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</si>
  <si>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</si>
  <si>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</si>
  <si>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</si>
  <si>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</si>
  <si>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</si>
  <si>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</si>
  <si>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</si>
  <si>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</si>
  <si>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</si>
  <si>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</si>
  <si>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</si>
  <si>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</si>
  <si>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</si>
  <si>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</si>
  <si>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</si>
  <si>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</si>
  <si>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</si>
  <si>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</si>
  <si>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</si>
  <si>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</si>
  <si>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</si>
  <si>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</si>
  <si>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</si>
  <si>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</si>
  <si>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</si>
  <si>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</si>
  <si>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</si>
  <si>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</si>
  <si>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</si>
  <si>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</si>
  <si>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</si>
  <si>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</si>
  <si>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</si>
  <si>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</si>
  <si>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</si>
  <si>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</si>
  <si>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</si>
  <si>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</si>
  <si>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</si>
  <si>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</si>
  <si>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</si>
  <si>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</si>
  <si>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</si>
  <si>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</si>
  <si>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</si>
  <si>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</si>
  <si>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</si>
  <si>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</si>
  <si>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</si>
  <si>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</si>
  <si>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</si>
  <si>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</si>
  <si>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</si>
  <si>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</si>
  <si>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</si>
  <si>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</si>
  <si>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</si>
  <si>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</si>
  <si>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</si>
  <si>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</si>
  <si>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</si>
  <si>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</si>
  <si>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</si>
  <si>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</si>
  <si>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</si>
  <si>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</si>
  <si>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</si>
  <si>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</si>
  <si>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</si>
  <si>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</si>
  <si>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</si>
  <si>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</si>
  <si>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</si>
  <si>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</si>
  <si>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</si>
  <si>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</si>
  <si>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</si>
  <si>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</si>
  <si>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</si>
  <si>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</si>
  <si>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</si>
  <si>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</si>
  <si>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</si>
  <si>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</si>
  <si>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</si>
  <si>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</si>
  <si>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</si>
  <si>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</si>
  <si>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</si>
  <si>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</si>
  <si>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</si>
  <si>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</si>
  <si>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</si>
  <si>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</si>
  <si>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</si>
  <si>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</si>
  <si>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</si>
  <si>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</si>
  <si>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</si>
  <si>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</si>
  <si>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</si>
  <si>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</si>
  <si>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</si>
  <si>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</si>
  <si>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</si>
  <si>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</si>
  <si>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</si>
  <si>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</si>
  <si>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</si>
  <si>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</si>
  <si>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</si>
  <si>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</si>
  <si>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</si>
  <si>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</si>
  <si>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</si>
  <si>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</si>
  <si>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</si>
  <si>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</si>
  <si>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</si>
  <si>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</si>
  <si>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</si>
  <si>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</si>
  <si>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</si>
  <si>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</si>
  <si>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</si>
  <si>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</si>
  <si>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</si>
  <si>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</si>
  <si>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</si>
  <si>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</si>
  <si>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</si>
  <si>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</si>
  <si>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</si>
  <si>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</si>
  <si>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</si>
  <si>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</si>
  <si>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</si>
  <si>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</si>
  <si>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</si>
  <si>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</si>
  <si>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</si>
  <si>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</si>
  <si>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</si>
  <si>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</si>
  <si>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</si>
  <si>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</si>
  <si>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</si>
  <si>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</si>
  <si>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</si>
  <si>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</si>
  <si>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</si>
  <si>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</si>
  <si>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</si>
  <si>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</si>
  <si>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</si>
  <si>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</si>
  <si>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</si>
  <si>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</si>
  <si>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</si>
  <si>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</si>
  <si>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</si>
  <si>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</si>
  <si>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</si>
  <si>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</si>
  <si>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</si>
  <si>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</si>
  <si>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</si>
  <si>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</si>
  <si>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</si>
  <si>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</si>
  <si>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</si>
  <si>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</si>
  <si>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</si>
  <si>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</si>
  <si>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</si>
  <si>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</si>
  <si>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</si>
  <si>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</si>
  <si>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</si>
  <si>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</si>
  <si>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</si>
  <si>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</si>
  <si>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</si>
  <si>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</si>
  <si>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</si>
  <si>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</si>
  <si>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</si>
  <si>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</si>
  <si>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</si>
  <si>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</si>
  <si>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</si>
  <si>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</si>
  <si>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</si>
  <si>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</si>
  <si>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</si>
  <si>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</si>
  <si>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</si>
  <si>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</si>
  <si>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</si>
  <si>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</si>
  <si>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</si>
  <si>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</si>
  <si>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</si>
  <si>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</si>
  <si>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</si>
  <si>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</si>
  <si>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</si>
  <si>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</si>
  <si>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</si>
  <si>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</si>
  <si>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</si>
  <si>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</si>
  <si>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</si>
  <si>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</si>
  <si>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</si>
  <si>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</si>
  <si>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</si>
  <si>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</si>
  <si>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</si>
  <si>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</si>
  <si>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</si>
  <si>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</si>
  <si>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</si>
  <si>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</si>
  <si>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</si>
  <si>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</si>
  <si>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</si>
  <si>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</si>
  <si>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</si>
  <si>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</si>
  <si>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</si>
  <si>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</si>
  <si>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</si>
  <si>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</si>
  <si>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</si>
  <si>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</si>
  <si>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</si>
  <si>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</si>
  <si>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</si>
  <si>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</si>
  <si>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</si>
  <si>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</si>
  <si>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</si>
  <si>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</si>
  <si>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</si>
  <si>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</si>
  <si>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</si>
  <si>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</si>
  <si>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</si>
  <si>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</si>
  <si>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</si>
  <si>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</si>
  <si>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</si>
  <si>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</si>
  <si>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</si>
  <si>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</si>
  <si>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</si>
  <si>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</si>
  <si>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</si>
  <si>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</si>
  <si>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</si>
  <si>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</si>
  <si>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</si>
  <si>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</si>
  <si>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</si>
  <si>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</si>
  <si>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</si>
  <si>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</si>
  <si>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</si>
  <si>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</si>
  <si>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</si>
  <si>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</si>
  <si>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</si>
  <si>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</si>
  <si>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</si>
  <si>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</si>
  <si>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</si>
  <si>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</si>
  <si>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</si>
  <si>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</si>
  <si>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</si>
  <si>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</si>
  <si>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</si>
  <si>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</si>
  <si>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</si>
  <si>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</si>
  <si>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</si>
  <si>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</si>
  <si>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</si>
  <si>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</si>
  <si>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</si>
  <si>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</si>
  <si>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</si>
  <si>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</si>
  <si>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</si>
  <si>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</si>
  <si>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</si>
  <si>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</si>
  <si>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</si>
  <si>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</si>
  <si>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</si>
  <si>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</si>
  <si>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</si>
  <si>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</si>
  <si>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</si>
  <si>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</si>
  <si>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</si>
  <si>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</si>
  <si>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</si>
  <si>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</si>
  <si>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</si>
  <si>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</si>
  <si>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</si>
  <si>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</si>
  <si>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</si>
  <si>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</si>
  <si>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</si>
  <si>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</si>
  <si>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</si>
  <si>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</si>
  <si>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</si>
  <si>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</si>
  <si>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</si>
  <si>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</si>
  <si>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</si>
  <si>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</si>
  <si>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</si>
  <si>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</si>
  <si>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</si>
  <si>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</si>
  <si>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</si>
  <si>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</si>
  <si>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</si>
  <si>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</si>
  <si>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</si>
  <si>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</si>
  <si>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</si>
  <si>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</si>
  <si>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</si>
  <si>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</si>
  <si>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</si>
  <si>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</si>
  <si>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</si>
  <si>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</si>
  <si>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</si>
  <si>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</si>
  <si>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</si>
  <si>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</si>
  <si>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</si>
  <si>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</si>
  <si>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</si>
  <si>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</si>
  <si>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</si>
  <si>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</si>
  <si>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</si>
  <si>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</si>
  <si>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</si>
  <si>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</si>
  <si>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</si>
  <si>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</si>
  <si>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</si>
  <si>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</si>
  <si>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</si>
  <si>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</si>
  <si>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</si>
  <si>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</si>
  <si>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</si>
  <si>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</si>
  <si>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</si>
  <si>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</si>
  <si>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</si>
  <si>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</si>
  <si>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</si>
  <si>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</si>
  <si>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</si>
  <si>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</si>
  <si>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</si>
  <si>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</si>
  <si>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</si>
  <si>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</si>
  <si>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</si>
  <si>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</si>
  <si>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</si>
  <si>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</si>
  <si>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</si>
  <si>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</si>
  <si>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</si>
  <si>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</si>
  <si>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</si>
  <si>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</si>
  <si>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</si>
  <si>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</si>
  <si>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</si>
  <si>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</si>
  <si>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</si>
  <si>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</si>
  <si>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</si>
  <si>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</si>
  <si>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</si>
  <si>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</si>
  <si>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</si>
  <si>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</si>
  <si>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</si>
  <si>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</si>
  <si>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</si>
  <si>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</si>
  <si>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</si>
  <si>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</si>
  <si>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</si>
  <si>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</si>
  <si>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</si>
  <si>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</si>
  <si>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</si>
  <si>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</si>
  <si>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</si>
  <si>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</si>
  <si>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</si>
  <si>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</si>
  <si>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</si>
  <si>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</si>
  <si>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</si>
  <si>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</si>
  <si>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</si>
  <si>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</si>
  <si>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</si>
  <si>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</si>
  <si>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</si>
  <si>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</si>
  <si>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</si>
  <si>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</si>
  <si>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</si>
  <si>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</si>
  <si>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</si>
  <si>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</si>
  <si>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</si>
  <si>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</si>
  <si>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</si>
  <si>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</si>
  <si>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</si>
  <si>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</si>
  <si>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</si>
  <si>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</si>
  <si>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</si>
  <si>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</si>
  <si>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</si>
  <si>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</si>
  <si>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</si>
  <si>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</si>
  <si>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</si>
  <si>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</si>
  <si>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</si>
  <si>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</si>
  <si>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</si>
  <si>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</si>
  <si>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</si>
  <si>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</si>
  <si>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</si>
  <si>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</si>
  <si>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</si>
  <si>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</si>
  <si>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</si>
  <si>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</si>
  <si>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</si>
  <si>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</si>
  <si>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</si>
  <si>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</si>
  <si>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</si>
  <si>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</si>
  <si>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</si>
  <si>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</si>
  <si>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</si>
  <si>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</si>
  <si>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</si>
  <si>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</si>
  <si>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</si>
  <si>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</si>
  <si>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</si>
  <si>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</si>
  <si>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</si>
  <si>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</si>
  <si>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</si>
  <si>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</si>
  <si>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</si>
  <si>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</si>
  <si>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</si>
  <si>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</si>
  <si>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</si>
  <si>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</si>
  <si>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</si>
  <si>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</si>
  <si>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</si>
  <si>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</si>
  <si>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</si>
  <si>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</si>
  <si>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</si>
  <si>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</si>
  <si>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</si>
  <si>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</si>
  <si>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</si>
  <si>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</si>
  <si>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</si>
  <si>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</si>
  <si>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</si>
  <si>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</si>
  <si>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</si>
  <si>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</si>
  <si>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</si>
  <si>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</si>
  <si>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</si>
  <si>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</si>
  <si>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</si>
  <si>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</si>
  <si>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</si>
  <si>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</si>
  <si>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</si>
  <si>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</si>
  <si>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</si>
  <si>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</si>
  <si>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</si>
  <si>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</si>
  <si>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</si>
  <si>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</si>
  <si>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</si>
  <si>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</si>
  <si>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</si>
  <si>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</si>
  <si>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</si>
  <si>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</si>
  <si>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</si>
  <si>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</si>
  <si>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</si>
  <si>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</si>
  <si>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</si>
  <si>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</si>
  <si>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</si>
  <si>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</si>
  <si>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</si>
  <si>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</si>
  <si>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</si>
  <si>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</si>
  <si>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</si>
  <si>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</si>
  <si>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</si>
  <si>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</si>
  <si>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</si>
  <si>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</si>
  <si>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</si>
  <si>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</si>
  <si>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</si>
  <si>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</si>
  <si>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</si>
  <si>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</si>
  <si>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</si>
  <si>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</si>
  <si>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</si>
  <si>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</si>
  <si>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</si>
  <si>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</si>
  <si>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</si>
  <si>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</si>
  <si>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</si>
  <si>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</si>
  <si>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</si>
  <si>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</si>
  <si>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</si>
  <si>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</si>
  <si>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</si>
  <si>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</si>
  <si>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</si>
  <si>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</si>
  <si>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</si>
  <si>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</si>
  <si>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</si>
  <si>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</si>
  <si>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</si>
  <si>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</si>
  <si>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</si>
  <si>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</si>
  <si>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</si>
  <si>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</si>
  <si>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</si>
  <si>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</si>
  <si>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</si>
  <si>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</si>
  <si>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</si>
  <si>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</si>
  <si>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</si>
  <si>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</si>
  <si>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</si>
  <si>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</si>
  <si>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</si>
  <si>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</si>
  <si>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</si>
  <si>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</si>
  <si>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</si>
  <si>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</si>
  <si>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</si>
  <si>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</si>
  <si>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</si>
  <si>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</si>
  <si>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</si>
  <si>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</si>
  <si>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</si>
  <si>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</si>
  <si>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</si>
  <si>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</si>
  <si>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</si>
  <si>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</si>
  <si>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</si>
  <si>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</si>
  <si>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</si>
  <si>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</si>
  <si>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</si>
  <si>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</si>
  <si>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</si>
  <si>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</si>
  <si>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</si>
  <si>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</si>
  <si>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</si>
  <si>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</si>
  <si>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</si>
  <si>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</si>
  <si>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</si>
  <si>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</si>
  <si>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</si>
  <si>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</si>
  <si>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</si>
  <si>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</si>
  <si>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</si>
  <si>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</si>
  <si>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</si>
  <si>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</si>
  <si>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</si>
  <si>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</si>
  <si>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</si>
  <si>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</si>
  <si>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</si>
  <si>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</si>
  <si>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</si>
  <si>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</si>
  <si>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</si>
  <si>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</si>
  <si>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</si>
  <si>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</si>
  <si>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</si>
  <si>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</si>
  <si>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</si>
  <si>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</si>
  <si>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</si>
  <si>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</si>
  <si>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</si>
  <si>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</si>
  <si>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</si>
  <si>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</si>
  <si>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</si>
  <si>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</si>
  <si>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</si>
  <si>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</si>
  <si>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</si>
  <si>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</si>
  <si>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</si>
  <si>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</si>
  <si>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</si>
  <si>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</si>
  <si>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</si>
  <si>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</si>
  <si>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</si>
  <si>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</si>
  <si>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</si>
  <si>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</si>
  <si>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</si>
  <si>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</si>
  <si>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</si>
  <si>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</si>
  <si>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</si>
  <si>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</si>
  <si>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</si>
  <si>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</si>
  <si>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</si>
  <si>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</si>
  <si>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</si>
  <si>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</si>
  <si>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</si>
  <si>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</si>
  <si>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</si>
  <si>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</si>
  <si>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</si>
  <si>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</si>
  <si>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</si>
  <si>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</si>
  <si>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</si>
  <si>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</si>
  <si>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</si>
  <si>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</si>
  <si>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</si>
  <si>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</si>
  <si>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</si>
  <si>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</si>
  <si>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</si>
  <si>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</si>
  <si>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</si>
  <si>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</si>
  <si>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</si>
  <si>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</si>
  <si>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</si>
  <si>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</si>
  <si>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</si>
  <si>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</si>
  <si>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</si>
  <si>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</si>
  <si>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</si>
  <si>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</si>
  <si>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</si>
  <si>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</si>
  <si>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</si>
  <si>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</si>
  <si>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</si>
  <si>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</si>
  <si>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</si>
  <si>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</si>
  <si>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</si>
  <si>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</si>
  <si>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</si>
  <si>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</si>
  <si>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</si>
  <si>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</si>
  <si>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</si>
  <si>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</si>
  <si>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</si>
  <si>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</si>
  <si>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</si>
  <si>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</si>
  <si>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</si>
  <si>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</si>
  <si>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</si>
  <si>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</si>
  <si>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</si>
  <si>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</si>
  <si>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</si>
  <si>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</si>
  <si>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</si>
  <si>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</si>
  <si>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</si>
  <si>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</si>
  <si>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</si>
  <si>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</si>
  <si>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</si>
  <si>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</si>
  <si>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</si>
  <si>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</si>
  <si>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</si>
  <si>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</si>
  <si>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</si>
  <si>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</si>
  <si>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</si>
  <si>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</si>
  <si>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</si>
  <si>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</si>
  <si>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</si>
  <si>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</si>
  <si>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</si>
  <si>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</si>
  <si>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</si>
  <si>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</si>
  <si>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</si>
  <si>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</si>
  <si>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</si>
  <si>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</si>
  <si>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</si>
  <si>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</si>
  <si>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</si>
  <si>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</si>
  <si>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</si>
  <si>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</si>
  <si>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</si>
  <si>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</si>
  <si>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</si>
  <si>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</si>
  <si>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</si>
  <si>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</si>
  <si>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</si>
  <si>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</si>
  <si>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</si>
  <si>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</si>
  <si>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</si>
  <si>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</si>
  <si>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</si>
  <si>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</si>
  <si>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</si>
  <si>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</si>
  <si>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</si>
  <si>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</si>
  <si>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</si>
  <si>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</si>
  <si>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</si>
  <si>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</si>
  <si>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</si>
  <si>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</si>
  <si>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</si>
  <si>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</si>
  <si>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</si>
  <si>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</si>
  <si>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</si>
  <si>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</si>
  <si>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</si>
  <si>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</si>
  <si>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</si>
  <si>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</si>
  <si>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</si>
  <si>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</si>
  <si>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</si>
  <si>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</si>
  <si>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</si>
  <si>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</si>
  <si>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</si>
  <si>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</si>
  <si>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</si>
  <si>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</si>
  <si>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</si>
  <si>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</si>
  <si>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</si>
  <si>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</si>
  <si>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</si>
  <si>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</si>
  <si>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</si>
  <si>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</si>
  <si>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</si>
  <si>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</si>
  <si>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</si>
  <si>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</si>
  <si>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</si>
  <si>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</si>
  <si>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</si>
  <si>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</si>
  <si>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</si>
  <si>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</si>
  <si>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</si>
  <si>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</si>
  <si>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</si>
  <si>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</si>
  <si>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</si>
  <si>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</si>
  <si>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</si>
  <si>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</si>
  <si>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</si>
  <si>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</si>
  <si>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</si>
  <si>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</si>
  <si>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</si>
  <si>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</si>
  <si>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</si>
  <si>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</si>
  <si>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</si>
  <si>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</si>
  <si>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</si>
  <si>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</si>
  <si>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</si>
  <si>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</si>
  <si>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</si>
  <si>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</si>
  <si>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</si>
  <si>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</si>
  <si>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</si>
  <si>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</si>
  <si>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</si>
  <si>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</si>
  <si>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</si>
  <si>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</si>
  <si>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</si>
  <si>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</si>
  <si>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</si>
  <si>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</si>
  <si>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</si>
  <si>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</si>
  <si>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</si>
  <si>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</si>
  <si>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</si>
  <si>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</si>
  <si>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</si>
  <si>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</si>
  <si>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</si>
  <si>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</si>
  <si>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</si>
  <si>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</si>
  <si>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</si>
  <si>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</si>
  <si>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</si>
  <si>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</si>
  <si>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</si>
  <si>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</si>
  <si>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</si>
  <si>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</si>
  <si>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</si>
  <si>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</si>
  <si>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</si>
  <si>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</si>
  <si>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</si>
  <si>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</si>
  <si>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</si>
  <si>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</si>
  <si>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</si>
  <si>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</si>
  <si>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</si>
  <si>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</si>
  <si>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</si>
  <si>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</si>
  <si>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</si>
  <si>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</si>
  <si>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</si>
  <si>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</si>
  <si>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</si>
  <si>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</si>
  <si>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</si>
  <si>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</si>
  <si>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</si>
  <si>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</si>
  <si>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</si>
  <si>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</si>
  <si>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</si>
  <si>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</si>
  <si>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</si>
  <si>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</si>
  <si>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</si>
  <si>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</si>
  <si>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</si>
  <si>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</si>
  <si>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</si>
  <si>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</si>
  <si>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</si>
  <si>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</si>
  <si>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</si>
  <si>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</si>
  <si>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</si>
  <si>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</si>
  <si>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</si>
  <si>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</si>
  <si>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</si>
  <si>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</si>
  <si>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</si>
  <si>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</si>
  <si>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</si>
  <si>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</si>
  <si>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</si>
  <si>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</si>
  <si>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</si>
  <si>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</si>
  <si>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</si>
  <si>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</si>
  <si>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</si>
  <si>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</si>
  <si>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</si>
  <si>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</si>
  <si>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</si>
  <si>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</si>
  <si>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</si>
  <si>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</si>
  <si>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</si>
  <si>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</si>
  <si>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</si>
  <si>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</si>
  <si>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</si>
  <si>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</si>
  <si>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</si>
  <si>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</si>
  <si>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</si>
  <si>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</si>
  <si>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</si>
  <si>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</si>
  <si>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</si>
  <si>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</si>
  <si>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</si>
  <si>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</si>
  <si>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</si>
  <si>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</si>
  <si>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</si>
  <si>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</si>
  <si>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</si>
  <si>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</si>
  <si>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</si>
  <si>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</si>
  <si>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</si>
  <si>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</si>
  <si>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</si>
  <si>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</si>
  <si>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</si>
  <si>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</si>
  <si>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</si>
  <si>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</si>
  <si>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</si>
  <si>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</si>
  <si>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</si>
  <si>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</si>
  <si>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</si>
  <si>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</si>
  <si>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</si>
  <si>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</si>
  <si>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</si>
  <si>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</si>
  <si>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</si>
  <si>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</si>
  <si>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</si>
  <si>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</si>
  <si>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</si>
  <si>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</si>
  <si>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</si>
  <si>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</si>
  <si>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</si>
  <si>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</si>
  <si>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</si>
  <si>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</si>
  <si>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</si>
  <si>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</si>
  <si>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</si>
  <si>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</si>
  <si>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</si>
  <si>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</si>
  <si>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</si>
  <si>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</si>
  <si>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</si>
  <si>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</si>
  <si>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</si>
  <si>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</si>
  <si>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</si>
  <si>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</si>
  <si>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</si>
  <si>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</si>
  <si>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</si>
  <si>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</si>
  <si>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</si>
  <si>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</si>
  <si>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</si>
  <si>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</si>
  <si>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</si>
  <si>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</si>
  <si>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</si>
  <si>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</si>
  <si>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</si>
  <si>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</si>
  <si>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</si>
  <si>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</si>
  <si>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</si>
  <si>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</si>
  <si>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</si>
  <si>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</si>
  <si>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</si>
  <si>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</si>
  <si>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</si>
  <si>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</si>
  <si>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</si>
  <si>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</si>
  <si>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</si>
  <si>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</si>
  <si>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</si>
  <si>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</si>
  <si>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</si>
  <si>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</si>
  <si>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</si>
  <si>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</si>
  <si>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</si>
  <si>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</si>
  <si>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</si>
  <si>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</si>
  <si>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</si>
  <si>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</si>
  <si>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</si>
  <si>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</si>
  <si>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</si>
  <si>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</si>
  <si>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</si>
  <si>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</si>
  <si>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</si>
  <si>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</si>
  <si>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</si>
  <si>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</si>
  <si>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</si>
  <si>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</si>
  <si>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</si>
  <si>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</si>
  <si>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</si>
  <si>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</si>
  <si>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</si>
  <si>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</si>
  <si>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</si>
  <si>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</si>
  <si>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</si>
  <si>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</si>
  <si>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</si>
  <si>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</si>
  <si>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</si>
  <si>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</si>
  <si>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</si>
  <si>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</si>
  <si>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</si>
  <si>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</si>
  <si>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</si>
  <si>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</si>
  <si>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</si>
  <si>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</si>
  <si>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</si>
  <si>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</si>
  <si>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</si>
  <si>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</si>
  <si>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</si>
  <si>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</si>
  <si>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</si>
  <si>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</si>
  <si>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</si>
  <si>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</si>
  <si>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</si>
  <si>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</si>
  <si>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</si>
  <si>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</si>
  <si>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</si>
  <si>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</si>
  <si>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</si>
  <si>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</si>
  <si>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</si>
  <si>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</si>
  <si>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</si>
  <si>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</si>
  <si>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</si>
  <si>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</si>
  <si>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</si>
  <si>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</si>
  <si>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</si>
  <si>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</si>
  <si>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</si>
  <si>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</si>
  <si>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</si>
  <si>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</si>
  <si>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</si>
  <si>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</si>
  <si>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</si>
  <si>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</si>
  <si>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</si>
  <si>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</si>
  <si>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</si>
  <si>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</si>
  <si>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</si>
  <si>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</si>
  <si>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</si>
  <si>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</si>
  <si>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</si>
  <si>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</si>
  <si>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</si>
  <si>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</si>
  <si>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</si>
  <si>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</si>
  <si>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</si>
  <si>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</si>
  <si>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</si>
  <si>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</si>
  <si>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</si>
  <si>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</si>
  <si>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</si>
  <si>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</si>
  <si>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</si>
  <si>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</si>
  <si>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</si>
  <si>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</si>
  <si>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</si>
  <si>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</si>
  <si>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</si>
  <si>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</si>
  <si>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</si>
  <si>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</si>
  <si>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</si>
  <si>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</si>
  <si>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</si>
  <si>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</si>
  <si>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</si>
  <si>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</si>
  <si>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</si>
  <si>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</si>
  <si>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</si>
  <si>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</si>
  <si>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</si>
  <si>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</si>
  <si>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</si>
  <si>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</si>
  <si>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</si>
  <si>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</si>
  <si>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</si>
  <si>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</si>
  <si>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</si>
  <si>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</si>
  <si>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</si>
  <si>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</si>
  <si>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</si>
  <si>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</si>
  <si>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</si>
  <si>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</si>
  <si>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</si>
  <si>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</si>
  <si>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</si>
  <si>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</si>
  <si>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</si>
  <si>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</si>
  <si>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</si>
  <si>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</si>
  <si>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</si>
  <si>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</si>
  <si>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</si>
  <si>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</si>
  <si>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</si>
  <si>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</si>
  <si>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</si>
  <si>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</si>
  <si>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</si>
  <si>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</si>
  <si>
    <t>▼ [Service Mode]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</si>
</sst>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3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/>
    <xf numFmtId="0" fontId="0" fillId="0" borderId="0" xfId="0" applyBorder="1" applyAlignment="1">
      <alignment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>12ftW X 5ftH  Aluminium &amp; Glass Standard 4 Panel ▼ [Service Mode] CTW / SF Partition / Z-Louvre M/B Z-Louvre Blade - 5" 08-Box Lattice 12-Box Lattice</v>
      </c>
      <c r="M2" s="124" t="str">
        <f>IF(A11="","",A11)</f>
        <v>Set</v>
      </c>
      <c r="N2" s="124">
        <f>IF(B11="","",B11)</f>
        <v>1</v>
      </c>
      <c r="O2" s="125">
        <f>IF(B37="","",B37)</f>
        <v>3237.2234336551878</v>
      </c>
      <c r="P2" s="125">
        <f>IF(OR(NOT(ISNUMBER(N2)),NOT(ISNUMBER(O2))),"",N2*O2)</f>
        <v>3237.2234336551878</v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34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6.16</v>
      </c>
      <c r="I4" s="5">
        <f>IF(AND(ISNUMBER(F4), ISNUMBER(H4)), F4*H4, "")</f>
        <v>209.44</v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15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6.16</v>
      </c>
      <c r="I5" s="5">
        <f t="shared" ref="I5:I30" si="0">IF(AND(ISNUMBER(F5), ISNUMBER(H5)), F5*H5, "")</f>
        <v>92.4</v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>⬒ Z-Louvre Blade - 5"</v>
      </c>
      <c r="E6" s="25"/>
      <c r="F6" s="52" cm="1">
        <f t="array" ref="F6">IF(D6="","",MAX(0,IFERROR(INDEX(CalcEngine!V:V,SMALL(CalcEngine!P:P,ROW()-3)),0)+N(E6)))</f>
        <v>60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14.052</v>
      </c>
      <c r="I6" s="5">
        <f t="shared" si="0"/>
        <v>843.12</v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>12-Box Lattice</v>
      </c>
      <c r="E7" s="25"/>
      <c r="F7" s="52" cm="1">
        <f t="array" ref="F7">IF(D7="","",MAX(0,IFERROR(INDEX(CalcEngine!V:V,SMALL(CalcEngine!P:P,ROW()-3)),0)+N(E7)))</f>
        <v>1</v>
      </c>
      <c r="G7" s="2" t="str" cm="1">
        <f t="array" ref="G7">IFERROR(INDEX(CalcEngine!U:U,SMALL(CalcEngine!P:P,ROW()-3)),"")</f>
        <v>Set</v>
      </c>
      <c r="H7" s="5" cm="1">
        <f t="array" ref="H7">IFERROR(INDEX(CalcEngine!W:W,SMALL(CalcEngine!P:P,ROW()-3)),"")</f>
        <v>320.52082716262765</v>
      </c>
      <c r="I7" s="5">
        <f t="shared" si="0"/>
        <v>320.52082716262765</v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Bracket</v>
      </c>
      <c r="E8" s="25"/>
      <c r="F8" s="52" cm="1">
        <f t="array" ref="F8">IF(D8="","",MAX(0,IFERROR(INDEX(CalcEngine!V:V,SMALL(CalcEngine!P:P,ROW()-3)),0)+N(E8)))</f>
        <v>20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0.13</v>
      </c>
      <c r="I8" s="5">
        <f t="shared" si="0"/>
        <v>2.6</v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2152</v>
      </c>
      <c r="B17" s="403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 t="s">
        <v>1960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1792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1970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2085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 t="s">
        <v>2086</v>
      </c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1468.0808271626277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1468.0808271626277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24.468013786043795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>
        <f>IF(AND(ISNUMBER(B37), ISNUMBER(B9), B9&lt;&gt;0), B37/B9, "")</f>
        <v>53.95372389425313</v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>
        <f>IF(AND(ISNUMBER(B33), ISNUMBER(B32), B33&lt;&gt;0, B32&lt;&gt;1), B33/(1-B32), "")</f>
        <v>3237.2234336551878</v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>
        <f>IF(OR(B37="",B33=""),"",IFERROR(IF(B37-B33=0,"-",B37-B33),""))</f>
        <v>1769.1426064925602</v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122.34006893021898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269.76861947126565</v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1468.0808271626277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0.33269053310789654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32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3" zoomScale="75" zoomScaleNormal="75" workbookViewId="0">
      <selection activeCell="G106" sqref="G106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1.53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40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1.19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12.421333333333335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3.81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40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2.79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14.052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1.75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164</v>
      </c>
      <c r="W14" s="399">
        <f>IFERROR(IF(V14="","",V14*($W$12+$W$13)),"")</f>
        <v>320.52082716262765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260</v>
      </c>
      <c r="W15" s="399">
        <f t="shared" ref="W15:W16" si="1">IFERROR(IF(V15="","",V15*($W$12+$W$13)),"")</f>
        <v>508.14277477001946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376</v>
      </c>
      <c r="W16" s="412">
        <f t="shared" si="1"/>
        <v>734.85262812895121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15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12-Box Lattice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Z-Louvre Blade - 5"</v>
      </c>
      <c r="T77" s="1" t="str">
        <f>IF(Enginuity!$A$20="","",Enginuity!$A$20)</f>
        <v>Z-Louvre Blade - 5"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14.052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139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64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64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4" t="s">
        <v>254</v>
      </c>
      <c r="C90" s="369" t="s">
        <v>3</v>
      </c>
      <c r="P90" s="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1" t="str">
        <f>IF($S90="","",IFERROR(_xlfn.XLOOKUP($S90,CostData!$U$22:$U$1000,CostData!$T$22:$T$1000,""),""))</f>
        <v>Gasket</v>
      </c>
      <c r="R90" s="16" t="s">
        <v>1931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>
        <f>IF(SUM($V$63:$V$64)=0,"",SUM($V$63:$V$64)*2)</f>
        <v>30</v>
      </c>
      <c r="W90" s="399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21.19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21.19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21.19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94</v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6.16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>95</v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6.16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6.16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7.75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7.75</v>
      </c>
    </row>
    <row r="99" spans="1:23" x14ac:dyDescent="0.25">
      <c r="A99" s="274" t="s">
        <v>254</v>
      </c>
      <c r="C99" s="369" t="s">
        <v>1989</v>
      </c>
      <c r="E99" s="369" t="str">
        <v/>
      </c>
      <c r="F99" s="414" t="str">
        <f>"▼ [Lattice Option]"</f>
        <v>▼ [Lattice Option]</v>
      </c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7.75</v>
      </c>
    </row>
    <row r="100" spans="1:23" x14ac:dyDescent="0.25">
      <c r="A100" s="274" t="s">
        <v>254</v>
      </c>
      <c r="C100" s="369" t="s">
        <v>1989</v>
      </c>
      <c r="E100" s="369" t="str">
        <v/>
      </c>
      <c r="F100" s="369" t="s">
        <v>2085</v>
      </c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9.69</v>
      </c>
    </row>
    <row r="101" spans="1:23" x14ac:dyDescent="0.25">
      <c r="A101" s="274" t="s">
        <v>254</v>
      </c>
      <c r="C101" s="369" t="s">
        <v>1989</v>
      </c>
      <c r="F101" s="369" t="s">
        <v>2086</v>
      </c>
      <c r="P101" s="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9.69</v>
      </c>
    </row>
    <row r="102" spans="1:23" x14ac:dyDescent="0.25">
      <c r="A102" s="274" t="s">
        <v>254</v>
      </c>
      <c r="C102" s="369" t="s">
        <v>1989</v>
      </c>
      <c r="F102" s="369" t="s">
        <v>2087</v>
      </c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9.69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2.87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2.87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2.87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3.85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15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3.85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3.85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1832</v>
      </c>
      <c r="R112" s="16" t="str">
        <f>IF($T112="","","⬒ "&amp;$T112)</f>
        <v>⬒ Z-Louvre Blade - 5"</v>
      </c>
      <c r="T112" s="1" t="str">
        <f>IF(Enginuity!$A$20="","",Enginuity!$A$20)</f>
        <v>Z-Louvre Blade - 5"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14.052</v>
      </c>
    </row>
    <row r="113" spans="1:23" x14ac:dyDescent="0.25">
      <c r="A113" s="274" t="s">
        <v>254</v>
      </c>
      <c r="C113" s="369" t="s">
        <v>1989</v>
      </c>
      <c r="P113" s="1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113</v>
      </c>
      <c r="R113" s="16" t="str">
        <f>T113</f>
        <v>12-Box Lattice</v>
      </c>
      <c r="T113" s="1" t="str">
        <f>IF(Enginuity!$A$22="","",Enginuity!$A$22)</f>
        <v>12-Box Lattice</v>
      </c>
      <c r="U113" s="1" t="s">
        <v>176</v>
      </c>
      <c r="V113" s="1">
        <f>IF(OR(TRIM(Enginuity!A21)=TRIM(G92),TRIM(Enginuity!A22)=TRIM(G92)),1,"")</f>
        <v>1</v>
      </c>
      <c r="W113" s="399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>320.52082716262765</v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20</v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98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10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10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10</v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5</v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Z-Louvre Blade - 5"</v>
      </c>
      <c r="T167" s="1" t="str">
        <f>IF(Enginuity!$A$20="","",Enginuity!$A$20)</f>
        <v>Z-Louvre Blade - 5"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14.052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83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30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10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10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10</v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5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Z-Louvre Blade - 5"</v>
      </c>
      <c r="T197" s="1" t="str">
        <f>IF(Enginuity!$A$20="","",Enginuity!$A$20)</f>
        <v>Z-Louvre Blade - 5"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14.052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83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30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10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10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10</v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5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Z-Louvre Blade - 5"</v>
      </c>
      <c r="T227" s="1" t="str">
        <f>IF(Enginuity!$A$20="","",Enginuity!$A$20)</f>
        <v>Z-Louvre Blade - 5"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14.052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16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83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30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10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10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10</v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5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Z-Louvre Blade - 5"</v>
      </c>
      <c r="T257" s="1" t="str">
        <f>IF(Enginuity!$A$20="","",Enginuity!$A$20)</f>
        <v>Z-Louvre Blade - 5"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14.052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83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30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40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96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165.24013829938127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165.24013829938127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Z-Louvre Blade - 5"</v>
      </c>
      <c r="T287" s="1" t="str">
        <f>IF(Enginuity!$A$20="","",Enginuity!$A$20)</f>
        <v>Z-Louvre Blade - 5"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14.052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12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136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136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14.052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15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>
        <f>IF(TRIM(Enginuity!$A$22)="","",IF(AND(Enginuity!$B$6&gt;0,Enginuity!$B$7&gt;0,Enginuity!$B$13&gt;0),(2*Enginuity!$B$7*Enginuity!$B$13)+(2*Enginuity!$B$6),""))</f>
        <v>64</v>
      </c>
      <c r="W337" s="399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1.55</v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Z-Louvre Blade - 5"</v>
      </c>
      <c r="T347" s="1" t="str">
        <f>IF(Enginuity!$A$20="","",Enginuity!$A$20)</f>
        <v>Z-Louvre Blade - 5"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14.052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75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30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14.052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15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 t="str">
        <f>Enginuity!A22</f>
        <v>12-Box Lattice</v>
      </c>
      <c r="U397" s="1" t="s">
        <v>1935</v>
      </c>
      <c r="V397" s="1">
        <f>IF(TRIM(Enginuity!$A$22)="","",IF(AND(Enginuity!$B$6&gt;0,Enginuity!$B$7&gt;0,Enginuity!$B$13&gt;0),(2*Enginuity!$B$7*Enginuity!$B$13)+(2*Enginuity!$B$6),""))</f>
        <v>64</v>
      </c>
      <c r="W397" s="399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1.55</v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Z-Louvre Blade - 5"</v>
      </c>
      <c r="T407" s="1" t="str">
        <f>IF(Enginuity!$A$20="","",Enginuity!$A$20)</f>
        <v>Z-Louvre Blade - 5"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14.052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4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75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str">
        <f>IF($V$392="","",$V$392)</f>
        <v/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30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15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>
        <f>IF(TRIM(Enginuity!$A$22)="","",IF(AND(Enginuity!$B$6&gt;0,Enginuity!$B$7&gt;0,Enginuity!$B$13&gt;0),(2*Enginuity!$B$7*Enginuity!$B$13)+(2*Enginuity!$B$6),""))</f>
        <v>64</v>
      </c>
      <c r="W427" s="399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1.55</v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Z-Louvre Blade - 5"</v>
      </c>
      <c r="T437" s="1" t="str">
        <f>IF(Enginuity!$A$20="","",Enginuity!$A$20)</f>
        <v>Z-Louvre Blade - 5"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14.052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4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4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75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str">
        <f>IF($V$392="","",$V$392)</f>
        <v/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str">
        <f>IF($V$392="","",$V$392)</f>
        <v/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30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64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64</v>
      </c>
      <c r="W457" s="399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9.89</v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Z-Louvre Blade - 5"</v>
      </c>
      <c r="S465" s="1"/>
      <c r="T465" s="1" t="str">
        <f>IF(Enginuity!$A$20="","",Enginuity!$A$20)</f>
        <v>Z-Louvre Blade - 5"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14.052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7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7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7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7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7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7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7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7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4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8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4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 t="shared" si="28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75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8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28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str">
        <f>IF($V$392="","",$V$392)</f>
        <v/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str">
        <f>IF($V$392="","",$V$392)</f>
        <v/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30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15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12-Box Lattice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Z-Louvre Blade - 5"</v>
      </c>
      <c r="T497" s="1" t="str">
        <f>IF(Enginuity!$A$20="","",Enginuity!$A$20)</f>
        <v>Z-Louvre Blade - 5"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14.052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139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64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64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30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64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15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12-Box Lattice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Z-Louvre Blade - 5"</v>
      </c>
      <c r="T527" s="1" t="str">
        <f>IF(Enginuity!$A$20="","",Enginuity!$A$20)</f>
        <v>Z-Louvre Blade - 5"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14.052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139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64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64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30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12.421333333333335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14.052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12.421333333333335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14.052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51"/>
  <sheetViews>
    <sheetView tabSelected="1" zoomScale="75" zoomScaleNormal="75" workbookViewId="0">
      <pane ySplit="40" topLeftCell="A41" activePane="bottomLeft" state="frozen"/>
      <selection pane="bottomLeft" activeCell="C45" sqref="C45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IF(OR(_xlpm.top=0,_xlpm.hdr="",UPPER(_xlpm.hdr)="▼ [PRODUCT SUBTYPE]"),"",_xlpm.hdr)
)</f>
        <v/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">IF(
SUMPRODUCT(--(LEN(Dropdown!$B$42:$B$80)&gt;0))&gt;0,
"",
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_xlpm.src,IF(_xlpm.top=0,"",INDEX(CalcEngine!$F:$F,_xlpm.top+1):INDEX(CalcEngine!$F:$F,_xlpm.top+39)),
_xlpm.stopPos,IF(_xlpm.top=0,0,IFERROR(_xlfn.XMATCH(TRUE,LEFT(TRIM(_xlpm.src),2)="▼ ",0)-1,ROWS(_xlpm.src))),
_xlpm.seg,IF(OR(_xlpm.top=0,_xlpm.stopPos&lt;1),"",INDEX(_xlpm.src,_xlfn.SEQUENCE(_xlpm.stopPos))),
IF(OR(_xlpm.top=0,_xlpm.stopPos&lt;1),"",IFERROR(_xlfn.UNIQUE(_xlfn._xlws.FILTER(_xlpm.seg,TRIM(_xlpm.seg)&lt;&gt;"")),""))
))</f>
        <v/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Window Economy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0" spans="2:2" x14ac:dyDescent="0.25">
      <c r="B30" s="451"/>
    </row>
    <row r="31" spans="2:2" x14ac:dyDescent="0.25">
      <c r="B31" s="452"/>
    </row>
    <row r="32" spans="2:2" x14ac:dyDescent="0.25">
      <c r="B32" s="451"/>
    </row>
    <row r="41" spans="2:2" x14ac:dyDescent="0.25">
      <c r="B41" s="369"/>
    </row>
    <row r="42" spans="2:2" x14ac:dyDescent="0.25">
      <c r="B42" t="str" cm="1">
        <f t="array" ref="B42:B51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_xlpm.src,IF(OR(_xlpm.top=0,UPPER(_xlpm.hdr)&lt;&gt;"▼ [PRODUCT SUBTYPE]"),"",INDEX(CalcEngine!$F:$F,_xlpm.top+1):INDEX(CalcEngine!$F:$F,_xlpm.top+39)),
_xlpm.arr,IF(OR(_xlpm.top=0,UPPER(_xlpm.hdr)&lt;&gt;"▼ [PRODUCT SUBTYPE]"),"",IFERROR(_xlfn.UNIQUE(_xlfn._xlws.FILTER(_xlpm.src,TRIM(_xlpm.src)&lt;&gt;"")),"")),
IF(OR(_xlpm.top=0,UPPER(_xlpm.hdr)&lt;&gt;"▼ [PRODUCT SUBTYPE]"),"",IFERROR(INDEX(_xlpm.arr,_xlfn.SEQUENCE(MIN(ROWS(_xlpm.arr),39))),""))
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  <row r="48" spans="2:2" x14ac:dyDescent="0.25">
      <c r="B48" t="str">
        <v>▼ [Lattice Option]</v>
      </c>
    </row>
    <row r="49" spans="2:2" x14ac:dyDescent="0.25">
      <c r="B49" t="str">
        <v>08-Box Lattice</v>
      </c>
    </row>
    <row r="50" spans="2:2" x14ac:dyDescent="0.25">
      <c r="B50" t="str">
        <v>12-Box Lattice</v>
      </c>
    </row>
    <row r="51" spans="2:2" x14ac:dyDescent="0.25">
      <c r="B51" t="str">
        <v>24-Box Lattice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>
        <f>IF(AND(Enginuity!$B$6&gt;0, Enginuity!$B$7&gt;0, Enginuity!$B$13&gt;0), (2 * Enginuity!$B$7 * Enginuity!$B$13) + (2 * Enginuity!$B$6), "")</f>
        <v>64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64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128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P6" s="14" t="s">
        <v>265</v>
      </c>
      <c r="Q6" s="82">
        <f>IF(AND(Enginuity!$B$7&gt;0, Enginuity!$B$13&gt;1), (Enginuity!$B$13 - 1) * Enginuity!$B$7, "")</f>
        <v>15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181.18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68.539999999999992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56</v>
      </c>
      <c r="E9" s="244">
        <v>1.86</v>
      </c>
      <c r="F9" s="104">
        <f t="shared" si="0"/>
        <v>104.16000000000001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88</v>
      </c>
      <c r="E10" s="244">
        <v>1.86</v>
      </c>
      <c r="F10" s="104">
        <f t="shared" si="0"/>
        <v>163.68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358.74</v>
      </c>
      <c r="F11" s="104">
        <f>IF(D11*E11=0, "", D11*E11)</f>
        <v>358.74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246.1</v>
      </c>
      <c r="F12" s="104">
        <f>IF(D12*E12=0, "", D12*E12)</f>
        <v>246.1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12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20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20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64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15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Z-Louvre Blade - 5"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 t="str">
        <f>Enginuity!$A$22</f>
        <v>12-Box Lattice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64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15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- 5"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 t="str">
        <f>Enginuity!$A$22</f>
        <v>12-Box Lattice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64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128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20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20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- 5"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 t="str">
        <f>Enginuity!$A$22</f>
        <v>12-Box Lattice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20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20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- 5"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 t="str">
        <f>Enginuity!$A$22</f>
        <v>12-Box Lattice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64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128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20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20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- 5"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 t="str">
        <f>Enginuity!$A$22</f>
        <v>12-Box Lattice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20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20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- 5"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 t="str">
        <f>Enginuity!$A$22</f>
        <v>12-Box Lattice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64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128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64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- 5"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64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- 5"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128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64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- 5"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 t="str">
        <f>Enginuity!$A$22</f>
        <v>12-Box Lattice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64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- 5"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 t="str">
        <f>Enginuity!$A$22</f>
        <v>12-Box Lattice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128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12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15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- 5"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 t="str">
        <f>Enginuity!$A$22</f>
        <v>12-Box Lattice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15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- 5"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 t="str">
        <f>Enginuity!$A$22</f>
        <v>12-Box Lattice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128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15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- 5"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 t="str">
        <f>Enginuity!$A$22</f>
        <v>12-Box Lattice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15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- 5"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 t="str">
        <f>Enginuity!$A$22</f>
        <v>12-Box Lattice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128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25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25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20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20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20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20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8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32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22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22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64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15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64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20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Z-Louvre Blade - 5"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64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128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12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12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64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15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20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Z-Louvre Blade - 5"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64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128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12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12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64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15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20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Z-Louvre Blade - 5"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64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128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12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12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64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20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- 5"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 t="str">
        <f>Enginuity!$A$22</f>
        <v>12-Box Lattice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64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128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10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20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20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- 5"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64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128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20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20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- 5"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64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128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20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64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M/B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64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15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22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64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64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22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12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64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22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M/B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M/B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4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107.7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22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M/B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22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M/B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22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15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- 5"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15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- 5"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Z-Louvre Blade - 5"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 t="str">
        <f>Enginuity!$A$22</f>
        <v>12-Box Lattice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Z-Louvre Blade - 5"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 t="str">
        <f>Enginuity!$A$22</f>
        <v>12-Box Lattice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Z-Louvre Blade - 5"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 t="str">
        <f>Enginuity!$A$22</f>
        <v>12-Box Lattice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64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15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- 5"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64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15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- 5"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64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Z-Louvre Blade - 5"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 t="str">
        <f>Enginuity!$A$22</f>
        <v>12-Box Lattice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Z-Louvre Blade - 5"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 t="str">
        <f>Enginuity!$A$22</f>
        <v>12-Box Lattice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32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Z-Louvre Blade - 5"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 t="str">
        <f>Enginuity!$A$22</f>
        <v>12-Box Lattice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Z-Louvre Blade - 5"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 t="str">
        <f>Enginuity!$A$22</f>
        <v>12-Box Lattice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 t="str">
        <f>Enginuity!$A$22</f>
        <v>12-Box Lattice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 t="str">
        <f>Enginuity!$A$22</f>
        <v>12-Box Lattice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 t="str">
        <f>Enginuity!$A$22</f>
        <v>12-Box Lattice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 t="str">
        <f>Enginuity!$A$22</f>
        <v>12-Box Lattice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 t="str">
        <f>Enginuity!$A$22</f>
        <v>12-Box Lattice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>
        <f>IF(N(Q1434)&gt;0, IF(Enginuity!$B$9&lt;=20,150,17), "")</f>
        <v>17</v>
      </c>
      <c r="P1434" s="14" t="s">
        <v>835</v>
      </c>
      <c r="Q1434" s="22">
        <f>IF(LEFT(UPPER(TRIM(Enginuity!$A$19)),1)="M",
   IF(N(Enginuity!$B$9)&gt;0,
      IF(Enginuity!$B$9&lt;=20,1,IF(N(Enginuity!$B$15)&gt;0,Enginuity!$B$15,"")),
   ""),
"")</f>
        <v>914.4</v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- 5"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Z-Louvre Blade - 5"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 t="str">
        <f>Enginuity!$A$22</f>
        <v>12-Box Lattice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Z-Louvre Blade - 5"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 t="str">
        <f>Enginuity!$A$22</f>
        <v>12-Box Lattice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7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7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128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64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128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12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12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64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20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- 5"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64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128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10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136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20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- 5"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272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16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5029.8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136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136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40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272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272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M/B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5029.8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68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44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▼ [Service Mode]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▼ [Service Mode]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▼ [Service Mode]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▼ [Service Mode]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M/B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7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Z-Louvre Blade - 5"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20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20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- 5"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 t="str">
        <f>Enginuity!$A$22</f>
        <v>12-Box Lattice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20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20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- 5"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 t="str">
        <f>Enginuity!$A$22</f>
        <v>12-Box Lattice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64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128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64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15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- 5"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64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15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- 5"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64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196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M/B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Z-Louvre Blade - 5"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 t="str">
        <f>Enginuity!$A$22</f>
        <v>12-Box Lattice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M/B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 t="str">
        <f>Enginuity!$A$22</f>
        <v>12-Box Lattice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10</v>
      </c>
      <c r="J3" s="327">
        <f>$C$39</f>
        <v>2</v>
      </c>
      <c r="K3" s="327">
        <f>$C$40</f>
        <v>3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10</v>
      </c>
      <c r="R3" s="328">
        <f t="shared" ref="R3:S5" si="1">J3</f>
        <v>2</v>
      </c>
      <c r="S3" s="328">
        <f t="shared" si="1"/>
        <v>3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10</v>
      </c>
      <c r="J4" s="358">
        <f>$C$39</f>
        <v>2</v>
      </c>
      <c r="K4" s="327">
        <f t="shared" ref="K4:K12" si="3">$C$40</f>
        <v>3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10</v>
      </c>
      <c r="R4" s="328">
        <f t="shared" si="1"/>
        <v>2</v>
      </c>
      <c r="S4" s="328">
        <f t="shared" si="1"/>
        <v>3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10</v>
      </c>
      <c r="J5" s="327">
        <f t="shared" ref="J5:J12" si="7">$C$39</f>
        <v>2</v>
      </c>
      <c r="K5" s="327">
        <f t="shared" si="3"/>
        <v>3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10</v>
      </c>
      <c r="R5" s="328">
        <f t="shared" si="1"/>
        <v>2</v>
      </c>
      <c r="S5" s="328">
        <f t="shared" si="1"/>
        <v>3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4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10</v>
      </c>
      <c r="J6" s="327">
        <f t="shared" si="7"/>
        <v>2</v>
      </c>
      <c r="K6" s="327">
        <f t="shared" si="3"/>
        <v>3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10</v>
      </c>
      <c r="J7" s="327">
        <f t="shared" si="7"/>
        <v>2</v>
      </c>
      <c r="K7" s="327">
        <f t="shared" si="3"/>
        <v>3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10</v>
      </c>
      <c r="J8" s="327">
        <f t="shared" si="7"/>
        <v>2</v>
      </c>
      <c r="K8" s="327">
        <f t="shared" si="3"/>
        <v>3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10</v>
      </c>
      <c r="J9" s="327">
        <f t="shared" si="7"/>
        <v>2</v>
      </c>
      <c r="K9" s="327">
        <f t="shared" si="3"/>
        <v>3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10</v>
      </c>
      <c r="J10" s="327">
        <f t="shared" si="7"/>
        <v>2</v>
      </c>
      <c r="K10" s="327">
        <f t="shared" si="3"/>
        <v>3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60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10</v>
      </c>
      <c r="J11" s="327">
        <f t="shared" si="7"/>
        <v>2</v>
      </c>
      <c r="K11" s="327">
        <f t="shared" si="3"/>
        <v>3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10</v>
      </c>
      <c r="J12" s="327">
        <f t="shared" si="7"/>
        <v>2</v>
      </c>
      <c r="K12" s="327">
        <f t="shared" si="3"/>
        <v>3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90</v>
      </c>
      <c r="J15" s="93">
        <f>SUM(J3:J11)</f>
        <v>18</v>
      </c>
      <c r="K15" s="93">
        <f>SUM(K3:K11)</f>
        <v>27</v>
      </c>
      <c r="L15" s="281"/>
      <c r="O15" s="1"/>
      <c r="P15" s="1"/>
      <c r="Q15" s="93">
        <f>SUM(Q3:Q12)</f>
        <v>30</v>
      </c>
      <c r="R15" s="93">
        <f>SUM(R3:R11)</f>
        <v>6</v>
      </c>
      <c r="S15" s="93">
        <f>SUM(S3:S11)</f>
        <v>9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3.2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0.4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0.45999999999999996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>
        <f>B25*$B$6</f>
        <v>60</v>
      </c>
    </row>
    <row r="26" spans="1:40" x14ac:dyDescent="0.25">
      <c r="A26" s="337" t="s">
        <v>1719</v>
      </c>
      <c r="B26" s="356">
        <f>IF(OR($C$49="",$B$6=""),"",ROUND(($C$49/$B$6)-(2*$B$18),3))</f>
        <v>899.7</v>
      </c>
      <c r="C26" s="361">
        <f>B26</f>
        <v>899.7</v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8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2.5</v>
      </c>
      <c r="C38" s="361">
        <f>$C$57</f>
        <v>10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0.5</v>
      </c>
      <c r="C39" s="361">
        <f>$C$58</f>
        <v>2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0.75</v>
      </c>
      <c r="C40" s="361">
        <f>$C$61</f>
        <v>3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3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10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2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1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3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2026-04-21T13:58:24Z</dcterms:modified>
</cp:coreProperties>
</file>