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Enginuity\Calculator\"/>
    </mc:Choice>
  </mc:AlternateContent>
  <xr:revisionPtr revIDLastSave="0" documentId="13_ncr:1_{8260FF99-BC7A-49C5-B502-18A845D35B7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Vitally" sheetId="39" r:id="rId6"/>
    <sheet name="Breezway" sheetId="40" r:id="rId7"/>
    <sheet name="EnginuityMap" sheetId="30" r:id="rId8"/>
    <sheet name="AllMaterialsbak" sheetId="10" r:id="rId9"/>
    <sheet name="Powdercoated" sheetId="32" r:id="rId10"/>
    <sheet name="C.Louvers" sheetId="35" r:id="rId11"/>
    <sheet name="C.FDE" sheetId="33" state="hidden" r:id="rId12"/>
    <sheet name="C.Telescopic SLD" sheetId="34" state="hidden" r:id="rId13"/>
    <sheet name="WAV_TEST" sheetId="24" state="veryHidden" r:id="rId14"/>
    <sheet name="WAV_1" sheetId="25" state="veryHidden" r:id="rId15"/>
  </sheets>
  <definedNames>
    <definedName name="_xlpm.A" hidden="1" xlm="1">#NAME?</definedName>
    <definedName name="_xlpm.a21Pos" hidden="1" xlm="1">#NAME?</definedName>
    <definedName name="_xlpm.a21Sel" hidden="1" xlm="1">#NAME?</definedName>
    <definedName name="_xlpm.a21Val" hidden="1" xlm="1">#NAME?</definedName>
    <definedName name="_xlpm.ac" hidden="1" xlm="1">#NAME?</definedName>
    <definedName name="_xlpm.Acol" hidden="1" xlm="1">#NAME?</definedName>
    <definedName name="_xlpm.actOk" hidden="1" xlm="1">#NAME?</definedName>
    <definedName name="_xlpm.ad" hidden="1" xlm="1">#NAME?</definedName>
    <definedName name="_xlpm.adj" hidden="1" xlm="1">#NAME?</definedName>
    <definedName name="_xlpm.adjustRate" hidden="1" xlm="1">#NAME?</definedName>
    <definedName name="_xlpm.aj" hidden="1" xlm="1">#NAME?</definedName>
    <definedName name="_xlpm.aK" hidden="1" xlm="1">#NAME?</definedName>
    <definedName name="_xlpm.allLimit" hidden="1" xlm="1">#NAME?</definedName>
    <definedName name="_xlpm.allName" hidden="1" xlm="1">#NAME?</definedName>
    <definedName name="_xlpm.allOpt" hidden="1" xlm="1">#NAME?</definedName>
    <definedName name="_xlpm.allRate" hidden="1" xlm="1">#NAME?</definedName>
    <definedName name="_xlpm.allSelected" hidden="1" xlm="1">#NAME?</definedName>
    <definedName name="_xlpm.aN" hidden="1" xlm="1">#NAME?</definedName>
    <definedName name="_xlpm.ap" hidden="1" xlm="1">#NAME?</definedName>
    <definedName name="_xlpm.aq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au" hidden="1" xlm="1">#NAME?</definedName>
    <definedName name="_xlpm.auto" hidden="1" xlm="1">#NAME?</definedName>
    <definedName name="_xlpm.autoAll" hidden="1" xlm="1">#NAME?</definedName>
    <definedName name="_xlpm.autoBay" hidden="1" xlm="1">#NAME?</definedName>
    <definedName name="_xlpm.autoLattice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Desc" hidden="1" xlm="1">#NAME?</definedName>
    <definedName name="_xlpm.baseH" hidden="1" xlm="1">#NAME?</definedName>
    <definedName name="_xlpm.baseMask" hidden="1" xlm="1">#NAME?</definedName>
    <definedName name="_xlpm.baseRate" hidden="1" xlm="1">#NAME?</definedName>
    <definedName name="_xlpm.baseVal" hidden="1" xlm="1">#NAME?</definedName>
    <definedName name="_xlpm.baseW" hidden="1" xlm="1">#NAME?</definedName>
    <definedName name="_xlpm.bay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f" hidden="1" xlm="1">#NAME?</definedName>
    <definedName name="_xlpm.bK" hidden="1" xlm="1">#NAME?</definedName>
    <definedName name="_xlpm.bladeCount" hidden="1" xlm="1">#NAME?</definedName>
    <definedName name="_xlpm.bladeDesc" hidden="1" xlm="1">#NAME?</definedName>
    <definedName name="_xlpm.bladeRate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adeW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lkTop" hidden="1" xlm="1">#NAME?</definedName>
    <definedName name="_xlpm.blockClean" hidden="1" xlm="1">#NAME?</definedName>
    <definedName name="_xlpm.blockGroup" hidden="1" xlm="1">#NAME?</definedName>
    <definedName name="_xlpm.blockList" hidden="1" xlm="1">#NAME?</definedName>
    <definedName name="_xlpm.blockRange" hidden="1" xlm="1">#NAME?</definedName>
    <definedName name="_xlpm.blockRaw" hidden="1" xlm="1">#NAME?</definedName>
    <definedName name="_xlpm.blockSrc" hidden="1" xlm="1">#NAME?</definedName>
    <definedName name="_xlpm.blockTop" hidden="1" xlm="1">#NAME?</definedName>
    <definedName name="_xlpm.blockTops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bw" hidden="1" xlm="1">#NAME?</definedName>
    <definedName name="_xlpm.C" hidden="1" xlm="1">#NAME?</definedName>
    <definedName name="_xlpm.candidateRows" hidden="1" xlm="1">#NAME?</definedName>
    <definedName name="_xlpm.candidateTops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assLabel" hidden="1" xlm="1">#NAME?</definedName>
    <definedName name="_xlpm.classOK" hidden="1" xlm="1">#NAME?</definedName>
    <definedName name="_xlpm.clean" hidden="1" xlm="1">#NAME?</definedName>
    <definedName name="_xlpm.cleanRange" hidden="1" xlm="1">#NAME?</definedName>
    <definedName name="_xlpm.clip" hidden="1" xlm="1">#NAME?</definedName>
    <definedName name="_xlpm.cls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de" hidden="1" xlm="1">#NAME?</definedName>
    <definedName name="_xlpm.codeVal" hidden="1" xlm="1">#NAME?</definedName>
    <definedName name="_xlpm.col" hidden="1" xlm="1">#NAME?</definedName>
    <definedName name="_xlpm.colNo" hidden="1" xlm="1">#NAME?</definedName>
    <definedName name="_xlpm.condBase" hidden="1" xlm="1">#NAME?</definedName>
    <definedName name="_xlpm.condVit" hidden="1" xlm="1">#NAME?</definedName>
    <definedName name="_xlpm.configDesc" hidden="1" xlm="1">#NAME?</definedName>
    <definedName name="_xlpm.core" hidden="1" xlm="1">#NAME?</definedName>
    <definedName name="_xlpm.cornerOK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cut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d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fVal" hidden="1" xlm="1">#NAME?</definedName>
    <definedName name="_xlpm.depthBad" hidden="1" xlm="1">#NAME?</definedName>
    <definedName name="_xlpm.depthIn" hidden="1" xlm="1">#NAME?</definedName>
    <definedName name="_xlpm.desc" hidden="1" xlm="1">#NAME?</definedName>
    <definedName name="_xlpm.descRaw" hidden="1" xlm="1">#NAME?</definedName>
    <definedName name="_xlpm.description" hidden="1" xlm="1">#NAME?</definedName>
    <definedName name="_xlpm.descriptions" hidden="1" xlm="1">#NAME?</definedName>
    <definedName name="_xlpm.descs" hidden="1" xlm="1">#NAME?</definedName>
    <definedName name="_xlpm.df" hidden="1" xlm="1">#NAME?</definedName>
    <definedName name="_xlpm.dfc" hidden="1" xlm="1">#NAME?</definedName>
    <definedName name="_xlpm.dfd" hidden="1" xlm="1">#NAME?</definedName>
    <definedName name="_xlpm.dfr" hidden="1" xlm="1">#NAME?</definedName>
    <definedName name="_xlpm.dfu" hidden="1" xlm="1">#NAME?</definedName>
    <definedName name="_xlpm.dic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oor" hidden="1" xlm="1">#NAME?</definedName>
    <definedName name="_xlpm.dp" hidden="1" xlm="1">#NAME?</definedName>
    <definedName name="_xlpm.dPrefix" hidden="1" xlm="1">#NAME?</definedName>
    <definedName name="_xlpm.dq" hidden="1" xlm="1">#NAME?</definedName>
    <definedName name="_xlpm.ds" hidden="1" xlm="1">#NAME?</definedName>
    <definedName name="_xlpm.dsd" hidden="1" xlm="1">#NAME?</definedName>
    <definedName name="_xlpm.dsq" hidden="1" xlm="1">#NAME?</definedName>
    <definedName name="_xlpm.dsr" hidden="1" xlm="1">#NAME?</definedName>
    <definedName name="_xlpm.dsu" hidden="1" xlm="1">#NAME?</definedName>
    <definedName name="_xlpm.du" hidden="1" xlm="1">#NAME?</definedName>
    <definedName name="_xlpm.dustd" hidden="1" xlm="1">#NAME?</definedName>
    <definedName name="_xlpm.dustp" hidden="1" xlm="1">#NAME?</definedName>
    <definedName name="_xlpm.dustu" hidden="1" xlm="1">#NAME?</definedName>
    <definedName name="_xlpm.E" hidden="1" xlm="1">#NAME?</definedName>
    <definedName name="_xlpm.ec" hidden="1" xlm="1">#NAME?</definedName>
    <definedName name="_xlpm.eco" hidden="1" xlm="1">#NAME?</definedName>
    <definedName name="_xlpm.Ecol" hidden="1" xlm="1">#NAME?</definedName>
    <definedName name="_xlpm.ecoRate" hidden="1" xlm="1">#NAME?</definedName>
    <definedName name="_xlpm.ed" hidden="1" xlm="1">#NAME?</definedName>
    <definedName name="_xlpm.eff" hidden="1" xlm="1">#NAME?</definedName>
    <definedName name="_xlpm.eK" hidden="1" xlm="1">#NAME?</definedName>
    <definedName name="_xlpm.eligible" hidden="1" xlm="1">#NAME?</definedName>
    <definedName name="_xlpm.eN" hidden="1" xlm="1">#NAME?</definedName>
    <definedName name="_xlpm.endRow" hidden="1" xlm="1">#NAME?</definedName>
    <definedName name="_xlpm.ep" hidden="1" xlm="1">#NAME?</definedName>
    <definedName name="_xlpm.er" hidden="1" xlm="1">#NAME?</definedName>
    <definedName name="_xlpm.eu" hidden="1" xlm="1">#NAME?</definedName>
    <definedName name="_xlpm.EV" hidden="1" xlm="1">#NAME?</definedName>
    <definedName name="_xlpm.ex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" hidden="1" xlm="1">#NAME?</definedName>
    <definedName name="_xlpm.Fcol" hidden="1" xlm="1">#NAME?</definedName>
    <definedName name="_xlpm.fd" hidden="1" xlm="1">#NAME?</definedName>
    <definedName name="_xlpm.fic" hidden="1" xlm="1">#NAME?</definedName>
    <definedName name="_xlpm.filledGroup" hidden="1" xlm="1">#NAME?</definedName>
    <definedName name="_xlpm.filledHeight" hidden="1" xlm="1">#NAME?</definedName>
    <definedName name="_xlpm.filledPanel" hidden="1" xlm="1">#NAME?</definedName>
    <definedName name="_xlpm.filledSub" hidden="1" xlm="1">#NAME?</definedName>
    <definedName name="_xlpm.filledType" hidden="1" xlm="1">#NAME?</definedName>
    <definedName name="_xlpm.fillGrp" hidden="1" xlm="1">#NAME?</definedName>
    <definedName name="_xlpm.fillHgt" hidden="1" xlm="1">#NAME?</definedName>
    <definedName name="_xlpm.fillPnl" hidden="1" xlm="1">#NAME?</definedName>
    <definedName name="_xlpm.fin" hidden="1" xlm="1">#NAME?</definedName>
    <definedName name="_xlpm.finishBad" hidden="1" xlm="1">#NAME?</definedName>
    <definedName name="_xlpm.finishSet" hidden="1" xlm="1">#NAME?</definedName>
    <definedName name="_xlpm.finishText" hidden="1" xlm="1">#NAME?</definedName>
    <definedName name="_xlpm.firstRow" hidden="1" xlm="1">#NAME?</definedName>
    <definedName name="_xlpm.fixKey" hidden="1" xlm="1">#NAME?</definedName>
    <definedName name="_xlpm.fixOK" hidden="1" xlm="1">#NAME?</definedName>
    <definedName name="_xlpm.fl" hidden="1" xlm="1">#NAME?</definedName>
    <definedName name="_xlpm.flag" hidden="1" xlm="1">#NAME?</definedName>
    <definedName name="_xlpm.flagFrame740" hidden="1" xlm="1">#NAME?</definedName>
    <definedName name="_xlpm.flashd" hidden="1" xlm="1">#NAME?</definedName>
    <definedName name="_xlpm.flashp" hidden="1" xlm="1">#NAME?</definedName>
    <definedName name="_xlpm.flashu" hidden="1" xlm="1">#NAME?</definedName>
    <definedName name="_xlpm.fOk" hidden="1" xlm="1">#NAME?</definedName>
    <definedName name="_xlpm.fp" hidden="1" xlm="1">#NAME?</definedName>
    <definedName name="_xlpm.fr" hidden="1" xlm="1">#NAME?</definedName>
    <definedName name="_xlpm.frame740" hidden="1" xlm="1">#NAME?</definedName>
    <definedName name="_xlpm.frame740Rate" hidden="1" xlm="1">#NAME?</definedName>
    <definedName name="_xlpm.frame740Row" hidden="1" xlm="1">#NAME?</definedName>
    <definedName name="_xlpm.frameFinish" hidden="1" xlm="1">#NAME?</definedName>
    <definedName name="_xlpm.frameInstallCode" hidden="1" xlm="1">#NAME?</definedName>
    <definedName name="_xlpm.frameModifierCodes" hidden="1" xlm="1">#NAME?</definedName>
    <definedName name="_xlpm.frameModifierDesc" hidden="1" xlm="1">#NAME?</definedName>
    <definedName name="_xlpm.frameModifierRate" hidden="1" xlm="1">#NAME?</definedName>
    <definedName name="_xlpm.frameModifierUom" hidden="1" xlm="1">#NAME?</definedName>
    <definedName name="_xlpm.frameRate" hidden="1" xlm="1">#NAME?</definedName>
    <definedName name="_xlpm.frameSvcRate" hidden="1" xlm="1">#NAME?</definedName>
    <definedName name="_xlpm.free" hidden="1" xlm="1">#NAME?</definedName>
    <definedName name="_xlpm.fromRow" hidden="1" xlm="1">#NAME?</definedName>
    <definedName name="_xlpm.fs" hidden="1" xlm="1">#NAME?</definedName>
    <definedName name="_xlpm.fsd" hidden="1" xlm="1">#NAME?</definedName>
    <definedName name="_xlpm.fsp" hidden="1" xlm="1">#NAME?</definedName>
    <definedName name="_xlpm.fsq" hidden="1" xlm="1">#NAME?</definedName>
    <definedName name="_xlpm.fsu" hidden="1" xlm="1">#NAME?</definedName>
    <definedName name="_xlpm.ft" hidden="1" xlm="1">#NAME?</definedName>
    <definedName name="_xlpm.fu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ap" hidden="1" xlm="1">#NAME?</definedName>
    <definedName name="_xlpm.Gcol" hidden="1" xlm="1">#NAME?</definedName>
    <definedName name="_xlpm.geometryOK" hidden="1" xlm="1">#NAME?</definedName>
    <definedName name="_xlpm.gh" hidden="1" xlm="1">#NAME?</definedName>
    <definedName name="_xlpm.GLASS_CLEAN" hidden="1" xlm="1">#NAME?</definedName>
    <definedName name="_xlpm.glassDesc" hidden="1" xlm="1">#NAME?</definedName>
    <definedName name="_xlpm.glassRate" hidden="1" xlm="1">#NAME?</definedName>
    <definedName name="_xlpm.glassRaw" hidden="1" xlm="1">#NAME?</definedName>
    <definedName name="_xlpm.gp" hidden="1" xlm="1">#NAME?</definedName>
    <definedName name="_xlpm.GroupCol" hidden="1" xlm="1">#NAME?</definedName>
    <definedName name="_xlpm.groupStarts" hidden="1" xlm="1">#NAME?</definedName>
    <definedName name="_xlpm.grp" hidden="1" xlm="1">#NAME?</definedName>
    <definedName name="_xlpm.grp_ok" hidden="1" xlm="1">#NAME?</definedName>
    <definedName name="_xlpm.grpVal" hidden="1" xlm="1">#NAME?</definedName>
    <definedName name="_xlpm.gs" hidden="1" xlm="1">#NAME?</definedName>
    <definedName name="_xlpm.h" hidden="1" xlm="1">#NAME?</definedName>
    <definedName name="_xlpm.hardStatus" hidden="1" xlm="1">#NAME?</definedName>
    <definedName name="_xlpm.hardwareCode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Subtype" hidden="1" xlm="1">#NAME?</definedName>
    <definedName name="_xlpm.hasVar" hidden="1" xlm="1">#NAME?</definedName>
    <definedName name="_xlpm.hBand" hidden="1" xlm="1">#NAME?</definedName>
    <definedName name="_xlpm.hBars" hidden="1" xlm="1">#NAME?</definedName>
    <definedName name="_xlpm.hc" hidden="1" xlm="1">#NAME?</definedName>
    <definedName name="_xlpm.Hcol" hidden="1" xlm="1">#NAME?</definedName>
    <definedName name="_xlpm.hCount" hidden="1" xlm="1">#NAME?</definedName>
    <definedName name="_xlpm.hd" hidden="1" xlm="1">#NAME?</definedName>
    <definedName name="_xlpm.hdr" hidden="1" xlm="1">#NAME?</definedName>
    <definedName name="_xlpm.headerPos" hidden="1" xlm="1">#NAME?</definedName>
    <definedName name="_xlpm.headerText" hidden="1" xlm="1">#NAME?</definedName>
    <definedName name="_xlpm.height_ok" hidden="1" xlm="1">#NAME?</definedName>
    <definedName name="_xlpm.heightBand" hidden="1" xlm="1">#NAME?</definedName>
    <definedName name="_xlpm.heightIn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Row" hidden="1" xlm="1">#NAME?</definedName>
    <definedName name="_xlpm.hitRows" hidden="1" xlm="1">#NAME?</definedName>
    <definedName name="_xlpm.hits" hidden="1" xlm="1">#NAME?</definedName>
    <definedName name="_xlpm.hitVal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" hidden="1" xlm="1">#NAME?</definedName>
    <definedName name="_xlpm.hpcs" hidden="1" xlm="1">#NAME?</definedName>
    <definedName name="_xlpm.hPieces" hidden="1" xlm="1">#NAME?</definedName>
    <definedName name="_xlpm.hq" hidden="1" xlm="1">#NAME?</definedName>
    <definedName name="_xlpm.hQty" hidden="1" xlm="1">#NAME?</definedName>
    <definedName name="_xlpm.htag" hidden="1" xlm="1">#NAME?</definedName>
    <definedName name="_xlpm.hu" hidden="1" xlm="1">#NAME?</definedName>
    <definedName name="_xlpm.i" hidden="1" xlm="1">#NAME?</definedName>
    <definedName name="_xlpm.ic" hidden="1" xlm="1">#NAME?</definedName>
    <definedName name="_xlpm.id" hidden="1" xlm="1">#NAME?</definedName>
    <definedName name="_xlpm.idc" hidden="1" xlm="1">#NAME?</definedName>
    <definedName name="_xlpm.idx" hidden="1" xlm="1">#NAME?</definedName>
    <definedName name="_xlpm.im" hidden="1" xlm="1">#NAME?</definedName>
    <definedName name="_xlpm.imr" hidden="1" xlm="1">#NAME?</definedName>
    <definedName name="_xlpm.inBlk" hidden="1" xlm="1">#NAME?</definedName>
    <definedName name="_xlpm.inc" hidden="1" xlm="1">#NAME?</definedName>
    <definedName name="_xlpm.incl" hidden="1" xlm="1">#NAME?</definedName>
    <definedName name="_xlpm.includeActive" hidden="1" xlm="1">#NAME?</definedName>
    <definedName name="_xlpm.inF" hidden="1" xlm="1">#NAME?</definedName>
    <definedName name="_xlpm.infillRate" hidden="1" xlm="1">#NAME?</definedName>
    <definedName name="_xlpm.inG" hidden="1" xlm="1">#NAME?</definedName>
    <definedName name="_xlpm.ip" hidden="1" xlm="1">#NAME?</definedName>
    <definedName name="_xlpm.iq" hidden="1" xlm="1">#NAME?</definedName>
    <definedName name="_xlpm.ir" hidden="1" xlm="1">#NAME?</definedName>
    <definedName name="_xlpm.isBlank" hidden="1" xlm="1">#NAME?</definedName>
    <definedName name="_xlpm.isCorner" hidden="1" xlm="1">#NAME?</definedName>
    <definedName name="_xlpm.isd" hidden="1" xlm="1">#NAME?</definedName>
    <definedName name="_xlpm.isdf" hidden="1" xlm="1">#NAME?</definedName>
    <definedName name="_xlpm.isFamily" hidden="1" xlm="1">#NAME?</definedName>
    <definedName name="_xlpm.isFix" hidden="1" xlm="1">#NAME?</definedName>
    <definedName name="_xlpm.isFour" hidden="1" xlm="1">#NAME?</definedName>
    <definedName name="_xlpm.isFrameOnly" hidden="1" xlm="1">#NAME?</definedName>
    <definedName name="_xlpm.isGlass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ff" hidden="1" xlm="1">#NAME?</definedName>
    <definedName name="_xlpm.isOneTen" hidden="1" xlm="1">#NAME?</definedName>
    <definedName name="_xlpm.isOpt" hidden="1" xlm="1">#NAME?</definedName>
    <definedName name="_xlpm.isp" hidden="1" xlm="1">#NAME?</definedName>
    <definedName name="_xlpm.isq" hidden="1" xlm="1">#NAME?</definedName>
    <definedName name="_xlpm.isr" hidden="1" xlm="1">#NAME?</definedName>
    <definedName name="_xlpm.isShower" hidden="1" xlm="1">#NAME?</definedName>
    <definedName name="_xlpm.isSS" hidden="1" xlm="1">#NAME?</definedName>
    <definedName name="_xlpm.isStd" hidden="1" xlm="1">#NAME?</definedName>
    <definedName name="_xlpm.isSubtype" hidden="1" xlm="1">#NAME?</definedName>
    <definedName name="_xlpm.issw" hidden="1" xlm="1">#NAME?</definedName>
    <definedName name="_xlpm.isu" hidden="1" xlm="1">#NAME?</definedName>
    <definedName name="_xlpm.isVent" hidden="1" xlm="1">#NAME?</definedName>
    <definedName name="_xlpm.isVS" hidden="1" xlm="1">#NAME?</definedName>
    <definedName name="_xlpm.isWall" hidden="1" xlm="1">#NAME?</definedName>
    <definedName name="_xlpm.isWall110" hidden="1" xlm="1">#NAME?</definedName>
    <definedName name="_xlpm.isWallFour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iu" hidden="1" xlm="1">#NAME?</definedName>
    <definedName name="_xlpm.joint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" hidden="1" xlm="1">#NAME?</definedName>
    <definedName name="_xlpm.lab" hidden="1" xlm="1">#NAME?</definedName>
    <definedName name="_xlpm.labels" hidden="1" xlm="1">#NAME?</definedName>
    <definedName name="_xlpm.lastRow" hidden="1" xlm="1">#NAME?</definedName>
    <definedName name="_xlpm.lat" hidden="1" xlm="1">#NAME?</definedName>
    <definedName name="_xlpm.latRate" hidden="1" xlm="1">#NAME?</definedName>
    <definedName name="_xlpm.latticeName" hidden="1" xlm="1">#NAME?</definedName>
    <definedName name="_xlpm.latticeRate" hidden="1" xlm="1">#NAME?</definedName>
    <definedName name="_xlpm.latticeSelected" hidden="1" xlm="1">#NAME?</definedName>
    <definedName name="_xlpm.ld" hidden="1" xlm="1">#NAME?</definedName>
    <definedName name="_xlpm.leadSym" hidden="1" xlm="1">#NAME?</definedName>
    <definedName name="_xlpm.legacyBrand" hidden="1" xlm="1">#NAME?</definedName>
    <definedName name="_xlpm.legacyClean" hidden="1" xlm="1">#NAME?</definedName>
    <definedName name="_xlpm.legacyHitRow" hidden="1" xlm="1">#NAME?</definedName>
    <definedName name="_xlpm.legacyList" hidden="1" xlm="1">#NAME?</definedName>
    <definedName name="_xlpm.legacyOther" hidden="1" xlm="1">#NAME?</definedName>
    <definedName name="_xlpm.legacyRaw" hidden="1" xlm="1">#NAME?</definedName>
    <definedName name="_xlpm.legacySrc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k" hidden="1" xlm="1">#NAME?</definedName>
    <definedName name="_xlpm.lo" hidden="1" xlm="1">#NAME?</definedName>
    <definedName name="_xlpm.load" hidden="1" xlm="1">#NAME?</definedName>
    <definedName name="_xlpm.loc" hidden="1" xlm="1">#NAME?</definedName>
    <definedName name="_xlpm.lock" hidden="1" xlm="1">#NAME?</definedName>
    <definedName name="_xlpm.lockRate" hidden="1" xlm="1">#NAME?</definedName>
    <definedName name="_xlpm.louv" hidden="1" xlm="1">#NAME?</definedName>
    <definedName name="_xlpm.louverRate" hidden="1" xlm="1">#NAME?</definedName>
    <definedName name="_xlpm.low" hidden="1" xlm="1">#NAME?</definedName>
    <definedName name="_xlpm.lp" hidden="1" xlm="1">#NAME?</definedName>
    <definedName name="_xlpm.lr" hidden="1" xlm="1">#NAME?</definedName>
    <definedName name="_xlpm.lst" hidden="1" xlm="1">#NAME?</definedName>
    <definedName name="_xlpm.lu" hidden="1" xlm="1">#NAME?</definedName>
    <definedName name="_xlpm.lx" hidden="1" xlm="1">#NAME?</definedName>
    <definedName name="_xlpm.m" hidden="1" xlm="1">#NAME?</definedName>
    <definedName name="_xlpm.manualBay" hidden="1" xlm="1">#NAME?</definedName>
    <definedName name="_xlpm.mapped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axW" hidden="1" xlm="1">#NAME?</definedName>
    <definedName name="_xlpm.mc" hidden="1" xlm="1">#NAME?</definedName>
    <definedName name="_xlpm.md" hidden="1" xlm="1">#NAME?</definedName>
    <definedName name="_xlpm.mGEN" hidden="1" xlm="1">#NAME?</definedName>
    <definedName name="_xlpm.midJ" hidden="1" xlm="1">#NAME?</definedName>
    <definedName name="_xlpm.minDesc" hidden="1" xlm="1">#NAME?</definedName>
    <definedName name="_xlpm.minDescSrc" hidden="1" xlm="1">#NAME?</definedName>
    <definedName name="_xlpm.minList" hidden="1" xlm="1">#NAME?</definedName>
    <definedName name="_xlpm.minRate" hidden="1" xlm="1">#NAME?</definedName>
    <definedName name="_xlpm.minRateSrc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" hidden="1" xlm="1">#NAME?</definedName>
    <definedName name="_xlpm.mrg" hidden="1" xlm="1">#NAME?</definedName>
    <definedName name="_xlpm.msd" hidden="1" xlm="1">#NAME?</definedName>
    <definedName name="_xlpm.msq" hidden="1" xlm="1">#NAME?</definedName>
    <definedName name="_xlpm.msr" hidden="1" xlm="1">#NAME?</definedName>
    <definedName name="_xlpm.mSS" hidden="1" xlm="1">#NAME?</definedName>
    <definedName name="_xlpm.mStrict" hidden="1" xlm="1">#NAME?</definedName>
    <definedName name="_xlpm.msu" hidden="1" xlm="1">#NAME?</definedName>
    <definedName name="_xlpm.mu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ffName" hidden="1" xlm="1">#NAME?</definedName>
    <definedName name="_xlpm.oic" hidden="1" xlm="1">#NAME?</definedName>
    <definedName name="_xlpm.ok" hidden="1" xlm="1">#NAME?</definedName>
    <definedName name="_xlpm.oldPos" hidden="1" xlm="1">#NAME?</definedName>
    <definedName name="_xlpm.option22Rate" hidden="1" xlm="1">#NAME?</definedName>
    <definedName name="_xlpm.option22Uom" hidden="1" xlm="1">#NAME?</definedName>
    <definedName name="_xlpm.option23Rate" hidden="1" xlm="1">#NAME?</definedName>
    <definedName name="_xlpm.optionBad" hidden="1" xlm="1">#NAME?</definedName>
    <definedName name="_xlpm.optionCount" hidden="1" xlm="1">#NAME?</definedName>
    <definedName name="_xlpm.optionDesc" hidden="1" xlm="1">#NAME?</definedName>
    <definedName name="_xlpm.optionRange" hidden="1" xlm="1">#NAME?</definedName>
    <definedName name="_xlpm.optionRate" hidden="1" xlm="1">#NAME?</definedName>
    <definedName name="_xlpm.optionValues" hidden="1" xlm="1">#NAME?</definedName>
    <definedName name="_xlpm.ord" hidden="1" xlm="1">#NAME?</definedName>
    <definedName name="_xlpm.osd" hidden="1" xlm="1">#NAME?</definedName>
    <definedName name="_xlpm.osq" hidden="1" xlm="1">#NAME?</definedName>
    <definedName name="_xlpm.osr" hidden="1" xlm="1">#NAME?</definedName>
    <definedName name="_xlpm.osu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" hidden="1" xlm="1">#NAME?</definedName>
    <definedName name="_xlpm.panel" hidden="1" xlm="1">#NAME?</definedName>
    <definedName name="_xlpm.panel_ok" hidden="1" xlm="1">#NAME?</definedName>
    <definedName name="_xlpm.panelEnd" hidden="1" xlm="1">#NAME?</definedName>
    <definedName name="_xlpm.panelGroupStarts" hidden="1" xlm="1">#NAME?</definedName>
    <definedName name="_xlpm.panelKey" hidden="1" xlm="1">#NAME?</definedName>
    <definedName name="_xlpm.panelList" hidden="1" xlm="1">#NAME?</definedName>
    <definedName name="_xlpm.panelMask" hidden="1" xlm="1">#NAME?</definedName>
    <definedName name="_xlpm.panelQty" hidden="1" xlm="1">#NAME?</definedName>
    <definedName name="_xlpm.panelRate" hidden="1" xlm="1">#NAME?</definedName>
    <definedName name="_xlpm.panelStart" hidden="1" xlm="1">#NAME?</definedName>
    <definedName name="_xlpm.panelW" hidden="1" xlm="1">#NAME?</definedName>
    <definedName name="_xlpm.partCount" hidden="1" xlm="1">#NAME?</definedName>
    <definedName name="_xlpm.pc" hidden="1" xlm="1">#NAME?</definedName>
    <definedName name="_xlpm.pcs" hidden="1" xlm="1">#NAME?</definedName>
    <definedName name="_xlpm.pe" hidden="1" xlm="1">#NAME?</definedName>
    <definedName name="_xlpm.perBar" hidden="1" xlm="1">#NAME?</definedName>
    <definedName name="_xlpm.perStock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ece" hidden="1" xlm="1">#NAME?</definedName>
    <definedName name="_xlpm.pieces" hidden="1" xlm="1">#NAME?</definedName>
    <definedName name="_xlpm.Pilihan" hidden="1" xlm="1">#NAME?</definedName>
    <definedName name="_xlpm.pk" hidden="1" xlm="1">#NAME?</definedName>
    <definedName name="_xlpm.pm" hidden="1" xlm="1">#NAME?</definedName>
    <definedName name="_xlpm.pn" hidden="1" xlm="1">#NAME?</definedName>
    <definedName name="_xlpm.pNext" hidden="1" xlm="1">#NAME?</definedName>
    <definedName name="_xlpm.pnl" hidden="1" xlm="1">#NAME?</definedName>
    <definedName name="_xlpm.pos" hidden="1" xlm="1">#NAME?</definedName>
    <definedName name="_xlpm.pq" hidden="1" xlm="1">#NAME?</definedName>
    <definedName name="_xlpm.pr" hidden="1" xlm="1">#NAME?</definedName>
    <definedName name="_xlpm.prd" hidden="1" xlm="1">#NAME?</definedName>
    <definedName name="_xlpm.previousSub" hidden="1" xlm="1">#NAME?</definedName>
    <definedName name="_xlpm.prevSub" hidden="1" xlm="1">#NAME?</definedName>
    <definedName name="_xlpm.pri" hidden="1" xlm="1">#NAME?</definedName>
    <definedName name="_xlpm.price" hidden="1" xlm="1">#NAME?</definedName>
    <definedName name="_xlpm.priceGroup" hidden="1" xlm="1">#NAME?</definedName>
    <definedName name="_xlpm.priceGrp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oductKeys" hidden="1" xlm="1">#NAME?</definedName>
    <definedName name="_xlpm.profileCode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" hidden="1" xlm="1">#NAME?</definedName>
    <definedName name="_xlpm.pSub" hidden="1" xlm="1">#NAME?</definedName>
    <definedName name="_xlpm.pv" hidden="1" xlm="1">#NAME?</definedName>
    <definedName name="_xlpm.pw" hidden="1" xlm="1">#NAME?</definedName>
    <definedName name="_xlpm.q" hidden="1" xlm="1">#NAME?</definedName>
    <definedName name="_xlpm.qt" hidden="1" xlm="1">#NAME?</definedName>
    <definedName name="_xlpm.qty" hidden="1" xlm="1">#NAME?</definedName>
    <definedName name="_xlpm.qtyA22" hidden="1" xlm="1">#NAME?</definedName>
    <definedName name="_xlpm.qtyA23" hidden="1" xlm="1">#NAME?</definedName>
    <definedName name="_xlpm.qtys" hidden="1" xlm="1">#NAME?</definedName>
    <definedName name="_xlpm.quantities" hidden="1" xlm="1">#NAME?</definedName>
    <definedName name="_xlpm.r" hidden="1" xlm="1">#NAME?</definedName>
    <definedName name="_xlpm.rA" hidden="1" xlm="1">#NAME?</definedName>
    <definedName name="_xlpm.rate" hidden="1" xlm="1">#NAME?</definedName>
    <definedName name="_xlpm.rateA22" hidden="1" xlm="1">#NAME?</definedName>
    <definedName name="_xlpm.rateA23" hidden="1" xlm="1">#NAME?</definedName>
    <definedName name="_xlpm.rateExists" hidden="1" xlm="1">#NAME?</definedName>
    <definedName name="_xlpm.rateOK" hidden="1" xlm="1">#NAME?</definedName>
    <definedName name="_xlpm.rates" hidden="1" xlm="1">#NAME?</definedName>
    <definedName name="_xlpm.rateSource" hidden="1" xlm="1">#NAME?</definedName>
    <definedName name="_xlpm.raw" hidden="1" xlm="1">#NAME?</definedName>
    <definedName name="_xlpm.rawList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owType" hidden="1" xlm="1">#NAME?</definedName>
    <definedName name="_xlpm.rr" hidden="1" xlm="1">#NAME?</definedName>
    <definedName name="_xlpm.rt" hidden="1" xlm="1">#NAME?</definedName>
    <definedName name="_xlpm.runFT" hidden="1" xlm="1">#NAME?</definedName>
    <definedName name="_xlpm.rVar" hidden="1" xlm="1">#NAME?</definedName>
    <definedName name="_xlpm.rw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anRows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A22" hidden="1" xlm="1">#NAME?</definedName>
    <definedName name="_xlpm.selA23" hidden="1" xlm="1">#NAME?</definedName>
    <definedName name="_xlpm.selA27" hidden="1" xlm="1">#NAME?</definedName>
    <definedName name="_xlpm.selAdjust" hidden="1" xlm="1">#NAME?</definedName>
    <definedName name="_xlpm.selC" hidden="1" xlm="1">#NAME?</definedName>
    <definedName name="_xlpm.selEco" hidden="1" xlm="1">#NAME?</definedName>
    <definedName name="_xlpm.selectedGroup" hidden="1" xlm="1">#NAME?</definedName>
    <definedName name="_xlpm.selectedSubtype" hidden="1" xlm="1">#NAME?</definedName>
    <definedName name="_xlpm.selectedType" hidden="1" xlm="1">#NAME?</definedName>
    <definedName name="_xlpm.selectedTypeKey" hidden="1" xlm="1">#NAME?</definedName>
    <definedName name="_xlpm.selF" hidden="1" xlm="1">#NAME?</definedName>
    <definedName name="_xlpm.selFinish" hidden="1" xlm="1">#NAME?</definedName>
    <definedName name="_xlpm.selGroup" hidden="1" xlm="1">#NAME?</definedName>
    <definedName name="_xlpm.selInclude" hidden="1" xlm="1">#NAME?</definedName>
    <definedName name="_xlpm.selLattice" hidden="1" xlm="1">#NAME?</definedName>
    <definedName name="_xlpm.selLock" hidden="1" xlm="1">#NAME?</definedName>
    <definedName name="_xlpm.selLouver" hidden="1" xlm="1">#NAME?</definedName>
    <definedName name="_xlpm.selOpt22" hidden="1" xlm="1">#NAME?</definedName>
    <definedName name="_xlpm.selOpt23" hidden="1" xlm="1">#NAME?</definedName>
    <definedName name="_xlpm.selOption" hidden="1" xlm="1">#NAME?</definedName>
    <definedName name="_xlpm.selPanel" hidden="1" xlm="1">#NAME?</definedName>
    <definedName name="_xlpm.selPrefix" hidden="1" xlm="1">#NAME?</definedName>
    <definedName name="_xlpm.selService" hidden="1" xlm="1">#NAME?</definedName>
    <definedName name="_xlpm.selSub" hidden="1" xlm="1">#NAME?</definedName>
    <definedName name="_xlpm.selSubtype" hidden="1" xlm="1">#NAME?</definedName>
    <definedName name="_xlpm.selSvc" hidden="1" xlm="1">#NAME?</definedName>
    <definedName name="_xlpm.selType" hidden="1" xlm="1">#NAME?</definedName>
    <definedName name="_xlpm.selTypeKey" hidden="1" xlm="1">#NAME?</definedName>
    <definedName name="_xlpm.selVent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rviceDesc" hidden="1" xlm="1">#NAME?</definedName>
    <definedName name="_xlpm.serviceEnd" hidden="1" xlm="1">#NAME?</definedName>
    <definedName name="_xlpm.serviceList" hidden="1" xlm="1">#NAME?</definedName>
    <definedName name="_xlpm.serviceMask" hidden="1" xlm="1">#NAME?</definedName>
    <definedName name="_xlpm.serviceQty" hidden="1" xlm="1">#NAME?</definedName>
    <definedName name="_xlpm.serviceRate" hidden="1" xlm="1">#NAME?</definedName>
    <definedName name="_xlpm.serviceRate0" hidden="1" xlm="1">#NAME?</definedName>
    <definedName name="_xlpm.serviceRow" hidden="1" xlm="1">#NAME?</definedName>
    <definedName name="_xlpm.serviceStart" hidden="1" xlm="1">#NAME?</definedName>
    <definedName name="_xlpm.serviceUnitRate" hidden="1" xlm="1">#NAME?</definedName>
    <definedName name="_xlpm.serviceUom" hidden="1" xlm="1">#NAME?</definedName>
    <definedName name="_xlpm.setNorm" hidden="1" xlm="1">#NAME?</definedName>
    <definedName name="_xlpm.setQty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how" hidden="1" xlm="1">#NAME?</definedName>
    <definedName name="_xlpm.showRows" hidden="1" xlm="1">#NAME?</definedName>
    <definedName name="_xlpm.sideJ" hidden="1" xlm="1">#NAME?</definedName>
    <definedName name="_xlpm.sizeDesc" hidden="1" xlm="1">#NAME?</definedName>
    <definedName name="_xlpm.sizeNum" hidden="1" xlm="1">#NAME?</definedName>
    <definedName name="_xlpm.sizeStep740" hidden="1" xlm="1">#NAME?</definedName>
    <definedName name="_xlpm.sizeTxt" hidden="1" xlm="1">#NAME?</definedName>
    <definedName name="_xlpm.sizeValid" hidden="1" xlm="1">#NAME?</definedName>
    <definedName name="_xlpm.sk" hidden="1" xlm="1">#NAME?</definedName>
    <definedName name="_xlpm.sl" hidden="1" xlm="1">#NAME?</definedName>
    <definedName name="_xlpm.slideBad" hidden="1" xlm="1">#NAME?</definedName>
    <definedName name="_xlpm.slideLimit" hidden="1" xlm="1">#NAME?</definedName>
    <definedName name="_xlpm.slideRate" hidden="1" xlm="1">#NAME?</definedName>
    <definedName name="_xlpm.slot" hidden="1" xlm="1">#NAME?</definedName>
    <definedName name="_xlpm.sm" hidden="1" xlm="1">#NAME?</definedName>
    <definedName name="_xlpm.sorted" hidden="1" xlm="1">#NAME?</definedName>
    <definedName name="_xlpm.sourceEnd740" hidden="1" xlm="1">#NAME?</definedName>
    <definedName name="_xlpm.sourceRow740" hidden="1" xlm="1">#NAME?</definedName>
    <definedName name="_xlpm.sourceService740" hidden="1" xlm="1">#NAME?</definedName>
    <definedName name="_xlpm.sourceServiceRate" hidden="1" xlm="1">#NAME?</definedName>
    <definedName name="_xlpm.sourceSub" hidden="1" xlm="1">#NAME?</definedName>
    <definedName name="_xlpm.sp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q" hidden="1" xlm="1">#NAME?</definedName>
    <definedName name="_xlpm.sr" hidden="1" xlm="1">#NAME?</definedName>
    <definedName name="_xlpm.src" hidden="1" xlm="1">#NAME?</definedName>
    <definedName name="_xlpm.srcA" hidden="1" xlm="1">#NAME?</definedName>
    <definedName name="_xlpm.srcAdjust" hidden="1" xlm="1">#NAME?</definedName>
    <definedName name="_xlpm.srcAdjustRate" hidden="1" xlm="1">#NAME?</definedName>
    <definedName name="_xlpm.srcAll" hidden="1" xlm="1">#NAME?</definedName>
    <definedName name="_xlpm.srcAllRate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Eco" hidden="1" xlm="1">#NAME?</definedName>
    <definedName name="_xlpm.srcEcoRate" hidden="1" xlm="1">#NAME?</definedName>
    <definedName name="_xlpm.srcF" hidden="1" xlm="1">#NAME?</definedName>
    <definedName name="_xlpm.srcFinish" hidden="1" xlm="1">#NAME?</definedName>
    <definedName name="_xlpm.srcFrameRate" hidden="1" xlm="1">#NAME?</definedName>
    <definedName name="_xlpm.srcGroup" hidden="1" xlm="1">#NAME?</definedName>
    <definedName name="_xlpm.srcHeight" hidden="1" xlm="1">#NAME?</definedName>
    <definedName name="_xlpm.srcLattice" hidden="1" xlm="1">#NAME?</definedName>
    <definedName name="_xlpm.srcLatticeRate" hidden="1" xlm="1">#NAME?</definedName>
    <definedName name="_xlpm.srcLou" hidden="1" xlm="1">#NAME?</definedName>
    <definedName name="_xlpm.srcLouver" hidden="1" xlm="1">#NAME?</definedName>
    <definedName name="_xlpm.srcLouverRate" hidden="1" xlm="1">#NAME?</definedName>
    <definedName name="_xlpm.srcM" hidden="1" xlm="1">#NAME?</definedName>
    <definedName name="_xlpm.srcMargin" hidden="1" xlm="1">#NAME?</definedName>
    <definedName name="_xlpm.srcMinRate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Panel" hidden="1" xlm="1">#NAME?</definedName>
    <definedName name="_xlpm.srcPanelRate" hidden="1" xlm="1">#NAME?</definedName>
    <definedName name="_xlpm.srcRate" hidden="1" xlm="1">#NAME?</definedName>
    <definedName name="_xlpm.srcRows" hidden="1" xlm="1">#NAME?</definedName>
    <definedName name="_xlpm.srcService" hidden="1" xlm="1">#NAME?</definedName>
    <definedName name="_xlpm.srcServiceRate" hidden="1" xlm="1">#NAME?</definedName>
    <definedName name="_xlpm.srcSub" hidden="1" xlm="1">#NAME?</definedName>
    <definedName name="_xlpm.srcSvc" hidden="1" xlm="1">#NAME?</definedName>
    <definedName name="_xlpm.srcSvcRate" hidden="1" xlm="1">#NAME?</definedName>
    <definedName name="_xlpm.srcTp" hidden="1" xlm="1">#NAME?</definedName>
    <definedName name="_xlpm.srcType" hidden="1" xlm="1">#NAME?</definedName>
    <definedName name="_xlpm.srcWidth" hidden="1" xlm="1">#NAME?</definedName>
    <definedName name="_xlpm.srList" hidden="1" xlm="1">#NAME?</definedName>
    <definedName name="_xlpm.srt" hidden="1" xlm="1">#NAME?</definedName>
    <definedName name="_xlpm.ss" hidden="1" xlm="1">#NAME?</definedName>
    <definedName name="_xlpm.st" hidden="1" xlm="1">#NAME?</definedName>
    <definedName name="_xlpm.star" hidden="1" xlm="1">#NAME?</definedName>
    <definedName name="_xlpm.startRow" hidden="1" xlm="1">#NAME?</definedName>
    <definedName name="_xlpm.status" hidden="1" xlm="1">#NAME?</definedName>
    <definedName name="_xlpm.stdName" hidden="1" xlm="1">#NAME?</definedName>
    <definedName name="_xlpm.stk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" hidden="1" xlm="1">#NAME?</definedName>
    <definedName name="_xlpm.subKey" hidden="1" xlm="1">#NAME?</definedName>
    <definedName name="_xlpm.subList" hidden="1" xlm="1">#NAME?</definedName>
    <definedName name="_xlpm.subOk" hidden="1" xlm="1">#NAME?</definedName>
    <definedName name="_xlpm.subPos" hidden="1" xlm="1">#NAME?</definedName>
    <definedName name="_xlpm.subRow" hidden="1" xlm="1">#NAME?</definedName>
    <definedName name="_xlpm.subRows" hidden="1" xlm="1">#NAME?</definedName>
    <definedName name="_xlpm.subSel" hidden="1" xlm="1">#NAME?</definedName>
    <definedName name="_xlpm.subtype" hidden="1" xlm="1">#NAME?</definedName>
    <definedName name="_xlpm.subtypeList" hidden="1" xlm="1">#NAME?</definedName>
    <definedName name="_xlpm.subtypeRow" hidden="1" xlm="1">#NAME?</definedName>
    <definedName name="_xlpm.subtypeTop" hidden="1" xlm="1">#NAME?</definedName>
    <definedName name="_xlpm.subVal" hidden="1" xlm="1">#NAME?</definedName>
    <definedName name="_xlpm.supported" hidden="1" xlm="1">#NAME?</definedName>
    <definedName name="_xlpm.sv" hidden="1" xlm="1">#NAME?</definedName>
    <definedName name="_xlpm.svc" hidden="1" xlm="1">#NAME?</definedName>
    <definedName name="_xlpm.svcEnd" hidden="1" xlm="1">#NAME?</definedName>
    <definedName name="_xlpm.svcMask" hidden="1" xlm="1">#NAME?</definedName>
    <definedName name="_xlpm.svcRate" hidden="1" xlm="1">#NAME?</definedName>
    <definedName name="_xlpm.svcRateSrc" hidden="1" xlm="1">#NAME?</definedName>
    <definedName name="_xlpm.svcStart" hidden="1" xlm="1">#NAME?</definedName>
    <definedName name="_xlpm.sw" hidden="1" xlm="1">#NAME?</definedName>
    <definedName name="_xlpm.swc" hidden="1" xlm="1">#NAME?</definedName>
    <definedName name="_xlpm.swd" hidden="1" xlm="1">#NAME?</definedName>
    <definedName name="_xlpm.swq" hidden="1" xlm="1">#NAME?</definedName>
    <definedName name="_xlpm.swr" hidden="1" xlm="1">#NAME?</definedName>
    <definedName name="_xlpm.swu" hidden="1" xlm="1">#NAME?</definedName>
    <definedName name="_xlpm.sym" hidden="1" xlm="1">#NAME?</definedName>
    <definedName name="_xlpm.sysDesc" hidden="1" xlm="1">#NAME?</definedName>
    <definedName name="_xlpm.sysRate" hidden="1" xlm="1">#NAME?</definedName>
    <definedName name="_xlpm.sz" hidden="1" xlm="1">#NAME?</definedName>
    <definedName name="_xlpm.szTxt" hidden="1" xlm="1">#NAME?</definedName>
    <definedName name="_xlpm.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e" hidden="1" xlm="1">#NAME?</definedName>
    <definedName name="_xlpm.thick" hidden="1" xlm="1">#NAME?</definedName>
    <definedName name="_xlpm.thk" hidden="1" xlm="1">#NAME?</definedName>
    <definedName name="_xlpm.tk" hidden="1" xlm="1">#NAME?</definedName>
    <definedName name="_xlpm.tl" hidden="1" xlm="1">#NAME?</definedName>
    <definedName name="_xlpm.top" hidden="1" xlm="1">#NAME?</definedName>
    <definedName name="_xlpm.tops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s" hidden="1" xlm="1">#NAME?</definedName>
    <definedName name="_xlpm.txt" hidden="1" xlm="1">#NAME?</definedName>
    <definedName name="_xlpm.typ" hidden="1" xlm="1">#NAME?</definedName>
    <definedName name="_xlpm.typeKey" hidden="1" xlm="1">#NAME?</definedName>
    <definedName name="_xlpm.typeLast" hidden="1" xlm="1">#NAME?</definedName>
    <definedName name="_xlpm.u" hidden="1" xlm="1">#NAME?</definedName>
    <definedName name="_xlpm.um" hidden="1" xlm="1">#NAME?</definedName>
    <definedName name="_xlpm.uom" hidden="1" xlm="1">#NAME?</definedName>
    <definedName name="_xlpm.uomA22" hidden="1" xlm="1">#NAME?</definedName>
    <definedName name="_xlpm.uomA23" hidden="1" xlm="1">#NAME?</definedName>
    <definedName name="_xlpm.uoms" hidden="1" xlm="1">#NAME?</definedName>
    <definedName name="_xlpm.usable" hidden="1" xlm="1">#NAME?</definedName>
    <definedName name="_xlpm.used" hidden="1" xlm="1">#NAME?</definedName>
    <definedName name="_xlpm.useMin" hidden="1" xlm="1">#NAME?</definedName>
    <definedName name="_xlpm.userKey" hidden="1" xlm="1">#NAME?</definedName>
    <definedName name="_xlpm.userSub" hidden="1" xlm="1">#NAME?</definedName>
    <definedName name="_xlpm.v" hidden="1" xlm="1">#NAME?</definedName>
    <definedName name="_xlpm.vA" hidden="1" xlm="1">#NAME?</definedName>
    <definedName name="_xlpm.valid" hidden="1" xlm="1">#NAME?</definedName>
    <definedName name="_xlpm.validSub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" hidden="1" xlm="1">#NAME?</definedName>
    <definedName name="_xlpm.vCd" hidden="1" xlm="1">#NAME?</definedName>
    <definedName name="_xlpm.vCode" hidden="1" xlm="1">#NAME?</definedName>
    <definedName name="_xlpm.vCount" hidden="1" xlm="1">#NAME?</definedName>
    <definedName name="_xlpm.ve" hidden="1" xlm="1">#NAME?</definedName>
    <definedName name="_xlpm.vent" hidden="1" xlm="1">#NAME?</definedName>
    <definedName name="_xlpm.ventRate" hidden="1" xlm="1">#NAME?</definedName>
    <definedName name="_xlpm.vFamCode" hidden="1" xlm="1">#NAME?</definedName>
    <definedName name="_xlpm.vFrom" hidden="1" xlm="1">#NAME?</definedName>
    <definedName name="_xlpm.vHdr" hidden="1" xlm="1">#NAME?</definedName>
    <definedName name="_xlpm.vHit" hidden="1" xlm="1">#NAME?</definedName>
    <definedName name="_xlpm.vitally_ok" hidden="1" xlm="1">#NAME?</definedName>
    <definedName name="_xlpm.vItem" hidden="1" xlm="1">#NAME?</definedName>
    <definedName name="_xlpm.vitRows" hidden="1" xlm="1">#NAME?</definedName>
    <definedName name="_xlpm.vitTop" hidden="1" xlm="1">#NAME?</definedName>
    <definedName name="_xlpm.vitTops" hidden="1" xlm="1">#NAME?</definedName>
    <definedName name="_xlpm.vKey" hidden="1" xlm="1">#NAME?</definedName>
    <definedName name="_xlpm.vKeys" hidden="1" xlm="1">#NAME?</definedName>
    <definedName name="_xlpm.vList" hidden="1" xlm="1">#NAME?</definedName>
    <definedName name="_xlpm.vm" hidden="1" xlm="1">#NAME?</definedName>
    <definedName name="_xlpm.vMarks" hidden="1" xlm="1">#NAME?</definedName>
    <definedName name="_xlpm.vNeedSubtype" hidden="1" xlm="1">#NAME?</definedName>
    <definedName name="_xlpm.vNextPos" hidden="1" xlm="1">#NAME?</definedName>
    <definedName name="_xlpm.vp" hidden="1" xlm="1">#NAME?</definedName>
    <definedName name="_xlpm.vPanel" hidden="1" xlm="1">#NAME?</definedName>
    <definedName name="_xlpm.vPieces" hidden="1" xlm="1">#NAME?</definedName>
    <definedName name="_xlpm.vQty" hidden="1" xlm="1">#NAME?</definedName>
    <definedName name="_xlpm.vr" hidden="1" xlm="1">#NAME?</definedName>
    <definedName name="_xlpm.vRaw" hidden="1" xlm="1">#NAME?</definedName>
    <definedName name="_xlpm.vRow" hidden="1" xlm="1">#NAME?</definedName>
    <definedName name="_xlpm.vRows" hidden="1" xlm="1">#NAME?</definedName>
    <definedName name="_xlpm.vs" hidden="1" xlm="1">#NAME?</definedName>
    <definedName name="_xlpm.vSeg" hidden="1" xlm="1">#NAME?</definedName>
    <definedName name="_xlpm.vSel" hidden="1" xlm="1">#NAME?</definedName>
    <definedName name="_xlpm.vSeq" hidden="1" xlm="1">#NAME?</definedName>
    <definedName name="_xlpm.vSets" hidden="1" xlm="1">#NAME?</definedName>
    <definedName name="_xlpm.vSrc" hidden="1" xlm="1">#NAME?</definedName>
    <definedName name="_xlpm.vSub" hidden="1" xlm="1">#NAME?</definedName>
    <definedName name="_xlpm.vSubPos" hidden="1" xlm="1">#NAME?</definedName>
    <definedName name="_xlpm.vSubtypeOK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vTops" hidden="1" xlm="1">#NAME?</definedName>
    <definedName name="_xlpm.vType" hidden="1" xlm="1">#NAME?</definedName>
    <definedName name="_xlpm.vTypeOK" hidden="1" xlm="1">#NAME?</definedName>
    <definedName name="_xlpm.vV" hidden="1" xlm="1">#NAME?</definedName>
    <definedName name="_xlpm.w" hidden="1" xlm="1">#NAME?</definedName>
    <definedName name="_xlpm.wallKey" hidden="1" xlm="1">#NAME?</definedName>
    <definedName name="_xlpm.wallOK" hidden="1" xlm="1">#NAME?</definedName>
    <definedName name="_xlpm.wallSource" hidden="1" xlm="1">#NAME?</definedName>
    <definedName name="_xlpm.wc" hidden="1" xlm="1">#NAME?</definedName>
    <definedName name="_xlpm.wd" hidden="1" xlm="1">#NAME?</definedName>
    <definedName name="_xlpm.wid" hidden="1" xlm="1">#NAME?</definedName>
    <definedName name="_xlpm.widthBand" hidden="1" xlm="1">#NAME?</definedName>
    <definedName name="_xlpm.widthIn" hidden="1" xlm="1">#NAME?</definedName>
    <definedName name="_xlpm.widthKey" hidden="1" xlm="1">#NAME?</definedName>
    <definedName name="_xlpm.wr" hidden="1" xlm="1">#NAME?</definedName>
    <definedName name="_xlpm.wu" hidden="1" xlm="1">#NAME?</definedName>
    <definedName name="_xlpm.x" hidden="1" xlm="1">#NAME?</definedName>
    <definedName name="_xlpm.z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Dropdown!$F$1:INDEX(Dropdown!$F$1:$F$40,IFERROR(MATCH(2,1/(TRIM(Dropdown!$F$1:$F$40)&lt;&gt;""),1),1))</definedName>
    <definedName name="G_List">Dropdown!$G$1:INDEX(Dropdown!$G$1:$G$5000,IFERROR(MATCH(2,1/(TRIM(Dropdown!$G$1:$G$5000)&lt;&gt;""),1),1))</definedName>
    <definedName name="H_List">Dropdown!$H$1:INDEX(Dropdown!$H$1:$H$5000,IFERROR(MATCH(2,1/(TRIM(Dropdown!$H$1:$H$5000)&lt;&gt;""),1),1))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26" i="38" l="1"/>
  <c r="V526" i="38" s="1" a="1"/>
  <c r="V526" i="38" s="1"/>
  <c r="Q526" i="38"/>
  <c r="S404" i="38"/>
  <c r="T404" i="38" s="1"/>
  <c r="Q404" i="38"/>
  <c r="V346" i="38" a="1"/>
  <c r="V346" i="38" s="1"/>
  <c r="S346" i="38"/>
  <c r="R346" i="38" s="1"/>
  <c r="Q346" i="38"/>
  <c r="V286" i="38" a="1"/>
  <c r="V286" i="38" s="1"/>
  <c r="S286" i="38"/>
  <c r="T286" i="38" s="1"/>
  <c r="Q286" i="38"/>
  <c r="V256" i="38" a="1"/>
  <c r="V256" i="38" s="1"/>
  <c r="S256" i="38"/>
  <c r="T256" i="38" s="1"/>
  <c r="Q256" i="38"/>
  <c r="V226" i="38" a="1"/>
  <c r="V226" i="38" s="1"/>
  <c r="S226" i="38"/>
  <c r="T226" i="38" s="1"/>
  <c r="Q226" i="38"/>
  <c r="S196" i="38"/>
  <c r="T196" i="38" s="1"/>
  <c r="Q196" i="38"/>
  <c r="V166" i="38" a="1"/>
  <c r="V166" i="38" s="1"/>
  <c r="S166" i="38"/>
  <c r="T166" i="38" s="1"/>
  <c r="Q166" i="38"/>
  <c r="S111" i="38"/>
  <c r="T111" i="38" s="1"/>
  <c r="Q111" i="38"/>
  <c r="V434" i="38" a="1"/>
  <c r="V434" i="38" s="1"/>
  <c r="S434" i="38"/>
  <c r="T434" i="38" s="1"/>
  <c r="Q434" i="38"/>
  <c r="W21" i="38" a="1"/>
  <c r="W21" i="38" s="1"/>
  <c r="T21" i="38"/>
  <c r="R21" i="38" s="1"/>
  <c r="Q21" i="38"/>
  <c r="Q464" i="38"/>
  <c r="S464" i="38"/>
  <c r="V464" i="38" s="1" a="1"/>
  <c r="V464" i="38" s="1"/>
  <c r="Q496" i="38"/>
  <c r="Q465" i="38" a="1"/>
  <c r="Q465" i="38" s="1"/>
  <c r="F76" i="38"/>
  <c r="Q17" i="38" a="1"/>
  <c r="Q17" i="38" s="1"/>
  <c r="T17" i="38" a="1"/>
  <c r="T17" i="38" s="1"/>
  <c r="R17" i="38" s="1"/>
  <c r="W17" i="38" a="1"/>
  <c r="W17" i="38" s="1"/>
  <c r="Q18" i="38" a="1"/>
  <c r="Q18" i="38" s="1"/>
  <c r="T18" i="38" a="1"/>
  <c r="T18" i="38" s="1"/>
  <c r="R18" i="38" s="1"/>
  <c r="W18" i="38" a="1"/>
  <c r="W18" i="38" s="1"/>
  <c r="Q19" i="38" a="1"/>
  <c r="Q19" i="38" s="1"/>
  <c r="T19" i="38" a="1"/>
  <c r="T19" i="38" s="1"/>
  <c r="R19" i="38" s="1"/>
  <c r="W19" i="38" a="1"/>
  <c r="W19" i="38" s="1"/>
  <c r="Q20" i="38" a="1"/>
  <c r="Q20" i="38" s="1"/>
  <c r="T20" i="38" a="1"/>
  <c r="T20" i="38" s="1"/>
  <c r="R20" i="38" s="1"/>
  <c r="W20" i="38" a="1"/>
  <c r="W20" i="38" s="1"/>
  <c r="Q22" i="38" a="1"/>
  <c r="Q22" i="38" s="1"/>
  <c r="T22" i="38" a="1"/>
  <c r="T22" i="38" s="1"/>
  <c r="R22" i="38" s="1"/>
  <c r="U22" i="38" a="1"/>
  <c r="U22" i="38"/>
  <c r="W22" i="38" a="1"/>
  <c r="W22" i="38" s="1"/>
  <c r="Q23" i="38" a="1"/>
  <c r="Q23" i="38"/>
  <c r="T23" i="38" a="1"/>
  <c r="T23" i="38"/>
  <c r="R23" i="38" s="1"/>
  <c r="U23" i="38" a="1"/>
  <c r="U23" i="38" s="1"/>
  <c r="W23" i="38" a="1"/>
  <c r="W23" i="38" s="1"/>
  <c r="Q24" i="38" a="1"/>
  <c r="Q24" i="38" s="1"/>
  <c r="T24" i="38" a="1"/>
  <c r="T24" i="38" s="1"/>
  <c r="R24" i="38" s="1"/>
  <c r="U24" i="38" a="1"/>
  <c r="U24" i="38" s="1"/>
  <c r="W24" i="38" a="1"/>
  <c r="W24" i="38" s="1"/>
  <c r="Q25" i="38" a="1"/>
  <c r="Q25" i="38" s="1"/>
  <c r="T25" i="38" a="1"/>
  <c r="T25" i="38" s="1"/>
  <c r="R25" i="38" s="1"/>
  <c r="U25" i="38" a="1"/>
  <c r="U25" i="38" s="1"/>
  <c r="W25" i="38" a="1"/>
  <c r="W25" i="38" s="1"/>
  <c r="Q26" i="38" a="1"/>
  <c r="Q26" i="38" s="1"/>
  <c r="T26" i="38" a="1"/>
  <c r="T26" i="38" s="1"/>
  <c r="R26" i="38" s="1"/>
  <c r="U26" i="38" a="1"/>
  <c r="U26" i="38" s="1"/>
  <c r="W26" i="38" a="1"/>
  <c r="W26" i="38" s="1"/>
  <c r="Q27" i="38" a="1"/>
  <c r="Q27" i="38" s="1"/>
  <c r="T27" i="38" a="1"/>
  <c r="T27" i="38"/>
  <c r="R27" i="38" s="1"/>
  <c r="U27" i="38" a="1"/>
  <c r="U27" i="38" s="1"/>
  <c r="W27" i="38" a="1"/>
  <c r="W27" i="38"/>
  <c r="Q28" i="38" a="1"/>
  <c r="Q28" i="38" s="1"/>
  <c r="T28" i="38" a="1"/>
  <c r="T28" i="38" s="1"/>
  <c r="R28" i="38" s="1"/>
  <c r="U28" i="38" a="1"/>
  <c r="U28" i="38" s="1"/>
  <c r="W28" i="38" a="1"/>
  <c r="W28" i="38" s="1"/>
  <c r="Q29" i="38" a="1"/>
  <c r="Q29" i="38" s="1"/>
  <c r="R29" i="38"/>
  <c r="T29" i="38" a="1"/>
  <c r="T29" i="38"/>
  <c r="U29" i="38" a="1"/>
  <c r="U29" i="38" s="1"/>
  <c r="W29" i="38" a="1"/>
  <c r="W29" i="38" s="1"/>
  <c r="Q30" i="38" a="1"/>
  <c r="Q30" i="38" s="1"/>
  <c r="T30" i="38" a="1"/>
  <c r="T30" i="38" s="1"/>
  <c r="R30" i="38" s="1"/>
  <c r="U30" i="38" a="1"/>
  <c r="U30" i="38" s="1"/>
  <c r="W30" i="38" a="1"/>
  <c r="W30" i="38" s="1"/>
  <c r="Q31" i="38" a="1"/>
  <c r="Q31" i="38" s="1"/>
  <c r="T31" i="38" a="1"/>
  <c r="T31" i="38" s="1"/>
  <c r="R31" i="38" s="1"/>
  <c r="U31" i="38" a="1"/>
  <c r="U31" i="38" s="1"/>
  <c r="W31" i="38" a="1"/>
  <c r="W31" i="38"/>
  <c r="Q32" i="38" a="1"/>
  <c r="Q32" i="38" s="1"/>
  <c r="T32" i="38" a="1"/>
  <c r="T32" i="38" s="1"/>
  <c r="R32" i="38" s="1"/>
  <c r="U32" i="38" a="1"/>
  <c r="U32" i="38" s="1"/>
  <c r="W32" i="38" a="1"/>
  <c r="W32" i="38"/>
  <c r="R33" i="38"/>
  <c r="T346" i="38" l="1"/>
  <c r="R256" i="38"/>
  <c r="V196" i="38" a="1"/>
  <c r="V196" i="38" s="1"/>
  <c r="R286" i="38"/>
  <c r="V111" i="38" a="1"/>
  <c r="V111" i="38" s="1"/>
  <c r="R526" i="38"/>
  <c r="T526" i="38"/>
  <c r="R404" i="38"/>
  <c r="V404" i="38" a="1"/>
  <c r="V404" i="38" s="1"/>
  <c r="R226" i="38"/>
  <c r="R196" i="38"/>
  <c r="R166" i="38"/>
  <c r="R111" i="38"/>
  <c r="R434" i="38"/>
  <c r="R464" i="38"/>
  <c r="T464" i="38"/>
  <c r="K115" i="36" l="1"/>
  <c r="K116" i="36"/>
  <c r="K117" i="36"/>
  <c r="K118" i="36"/>
  <c r="K119" i="36"/>
  <c r="J115" i="36"/>
  <c r="J116" i="36"/>
  <c r="J117" i="36"/>
  <c r="J118" i="36"/>
  <c r="J119" i="36"/>
  <c r="I115" i="36"/>
  <c r="I116" i="36"/>
  <c r="I117" i="36"/>
  <c r="I118" i="36"/>
  <c r="I119" i="36"/>
  <c r="H116" i="36"/>
  <c r="H117" i="36"/>
  <c r="H118" i="36"/>
  <c r="H119" i="36"/>
  <c r="A42" i="40"/>
  <c r="B42" i="40"/>
  <c r="C42" i="40"/>
  <c r="D42" i="40"/>
  <c r="E42" i="40"/>
  <c r="F42" i="40"/>
  <c r="G42" i="40"/>
  <c r="H42" i="40"/>
  <c r="I42" i="40"/>
  <c r="J42" i="40"/>
  <c r="A43" i="40"/>
  <c r="B43" i="40"/>
  <c r="C43" i="40"/>
  <c r="D43" i="40"/>
  <c r="E43" i="40"/>
  <c r="F43" i="40"/>
  <c r="G43" i="40"/>
  <c r="H43" i="40"/>
  <c r="I43" i="40"/>
  <c r="J43" i="40"/>
  <c r="A44" i="40"/>
  <c r="B44" i="40"/>
  <c r="C44" i="40"/>
  <c r="D44" i="40"/>
  <c r="E44" i="40"/>
  <c r="F44" i="40"/>
  <c r="G44" i="40"/>
  <c r="H44" i="40"/>
  <c r="I44" i="40"/>
  <c r="J44" i="40"/>
  <c r="A45" i="40"/>
  <c r="B45" i="40"/>
  <c r="C45" i="40"/>
  <c r="D45" i="40"/>
  <c r="E45" i="40"/>
  <c r="F45" i="40"/>
  <c r="G45" i="40"/>
  <c r="H45" i="40"/>
  <c r="I45" i="40"/>
  <c r="J45" i="40"/>
  <c r="A46" i="40"/>
  <c r="B46" i="40"/>
  <c r="C46" i="40"/>
  <c r="D46" i="40"/>
  <c r="E46" i="40"/>
  <c r="F46" i="40"/>
  <c r="G46" i="40"/>
  <c r="H46" i="40"/>
  <c r="I46" i="40"/>
  <c r="J46" i="40"/>
  <c r="A47" i="40"/>
  <c r="B47" i="40"/>
  <c r="C47" i="40"/>
  <c r="D47" i="40"/>
  <c r="E47" i="40"/>
  <c r="F47" i="40"/>
  <c r="G47" i="40"/>
  <c r="H47" i="40"/>
  <c r="I47" i="40"/>
  <c r="J47" i="40"/>
  <c r="A48" i="40"/>
  <c r="B48" i="40"/>
  <c r="C48" i="40"/>
  <c r="D48" i="40"/>
  <c r="E48" i="40"/>
  <c r="F48" i="40"/>
  <c r="G48" i="40"/>
  <c r="H48" i="40"/>
  <c r="I48" i="40"/>
  <c r="J48" i="40"/>
  <c r="A49" i="40"/>
  <c r="B49" i="40"/>
  <c r="C49" i="40"/>
  <c r="D49" i="40"/>
  <c r="E49" i="40"/>
  <c r="F49" i="40"/>
  <c r="G49" i="40"/>
  <c r="H49" i="40"/>
  <c r="I49" i="40"/>
  <c r="J49" i="40"/>
  <c r="A50" i="40"/>
  <c r="B50" i="40"/>
  <c r="C50" i="40"/>
  <c r="D50" i="40"/>
  <c r="E50" i="40"/>
  <c r="F50" i="40"/>
  <c r="G50" i="40"/>
  <c r="H50" i="40"/>
  <c r="I50" i="40"/>
  <c r="J50" i="40"/>
  <c r="A51" i="40"/>
  <c r="B51" i="40"/>
  <c r="C51" i="40"/>
  <c r="D51" i="40"/>
  <c r="E51" i="40"/>
  <c r="F51" i="40"/>
  <c r="G51" i="40"/>
  <c r="H51" i="40"/>
  <c r="I51" i="40"/>
  <c r="J51" i="40"/>
  <c r="A52" i="40"/>
  <c r="B52" i="40"/>
  <c r="C52" i="40"/>
  <c r="D52" i="40"/>
  <c r="E52" i="40"/>
  <c r="F52" i="40"/>
  <c r="G52" i="40"/>
  <c r="H52" i="40"/>
  <c r="I52" i="40"/>
  <c r="J52" i="40"/>
  <c r="A53" i="40"/>
  <c r="B53" i="40"/>
  <c r="C53" i="40"/>
  <c r="D53" i="40"/>
  <c r="E53" i="40"/>
  <c r="F53" i="40"/>
  <c r="G53" i="40"/>
  <c r="H53" i="40"/>
  <c r="I53" i="40"/>
  <c r="J53" i="40"/>
  <c r="A54" i="40"/>
  <c r="B54" i="40"/>
  <c r="C54" i="40"/>
  <c r="D54" i="40"/>
  <c r="E54" i="40"/>
  <c r="F54" i="40"/>
  <c r="G54" i="40"/>
  <c r="H54" i="40"/>
  <c r="I54" i="40"/>
  <c r="J54" i="40"/>
  <c r="A55" i="40"/>
  <c r="B55" i="40"/>
  <c r="C55" i="40"/>
  <c r="D55" i="40"/>
  <c r="E55" i="40"/>
  <c r="F55" i="40"/>
  <c r="G55" i="40"/>
  <c r="H55" i="40"/>
  <c r="I55" i="40"/>
  <c r="J55" i="40"/>
  <c r="A56" i="40"/>
  <c r="B56" i="40"/>
  <c r="C56" i="40"/>
  <c r="D56" i="40"/>
  <c r="E56" i="40"/>
  <c r="F56" i="40"/>
  <c r="G56" i="40"/>
  <c r="H56" i="40"/>
  <c r="I56" i="40"/>
  <c r="J56" i="40"/>
  <c r="A57" i="40"/>
  <c r="B57" i="40"/>
  <c r="C57" i="40"/>
  <c r="D57" i="40"/>
  <c r="E57" i="40"/>
  <c r="F57" i="40"/>
  <c r="G57" i="40"/>
  <c r="H57" i="40"/>
  <c r="I57" i="40"/>
  <c r="J57" i="40"/>
  <c r="A58" i="40"/>
  <c r="B58" i="40"/>
  <c r="C58" i="40"/>
  <c r="D58" i="40"/>
  <c r="E58" i="40"/>
  <c r="F58" i="40"/>
  <c r="G58" i="40"/>
  <c r="H58" i="40"/>
  <c r="I58" i="40"/>
  <c r="J58" i="40"/>
  <c r="A59" i="40"/>
  <c r="B59" i="40"/>
  <c r="C59" i="40"/>
  <c r="D59" i="40"/>
  <c r="E59" i="40"/>
  <c r="F59" i="40"/>
  <c r="G59" i="40"/>
  <c r="H59" i="40"/>
  <c r="I59" i="40"/>
  <c r="J59" i="40"/>
  <c r="A60" i="40"/>
  <c r="B60" i="40"/>
  <c r="C60" i="40"/>
  <c r="D60" i="40"/>
  <c r="E60" i="40"/>
  <c r="F60" i="40"/>
  <c r="G60" i="40"/>
  <c r="H60" i="40"/>
  <c r="I60" i="40"/>
  <c r="J60" i="40"/>
  <c r="A61" i="40"/>
  <c r="B61" i="40"/>
  <c r="C61" i="40"/>
  <c r="D61" i="40"/>
  <c r="E61" i="40"/>
  <c r="F61" i="40"/>
  <c r="G61" i="40"/>
  <c r="H61" i="40"/>
  <c r="I61" i="40"/>
  <c r="J61" i="40"/>
  <c r="A62" i="40"/>
  <c r="B62" i="40"/>
  <c r="C62" i="40"/>
  <c r="D62" i="40"/>
  <c r="E62" i="40"/>
  <c r="F62" i="40"/>
  <c r="G62" i="40"/>
  <c r="H62" i="40"/>
  <c r="I62" i="40"/>
  <c r="J62" i="40"/>
  <c r="P633" i="38" a="1"/>
  <c r="P633" i="38" s="1"/>
  <c r="P634" i="38" a="1"/>
  <c r="P634" i="38" s="1"/>
  <c r="P635" i="38" a="1"/>
  <c r="P635" i="38" s="1"/>
  <c r="P636" i="38" a="1"/>
  <c r="P636" i="38" s="1"/>
  <c r="P637" i="38" a="1"/>
  <c r="P637" i="38" s="1"/>
  <c r="P638" i="38" a="1"/>
  <c r="P638" i="38" s="1"/>
  <c r="P639" i="38" a="1"/>
  <c r="P639" i="38" s="1"/>
  <c r="P640" i="38" a="1"/>
  <c r="P640" i="38" s="1"/>
  <c r="P641" i="38" a="1"/>
  <c r="P641" i="38" s="1"/>
  <c r="P642" i="38" a="1"/>
  <c r="P642" i="38" s="1"/>
  <c r="P643" i="38" a="1"/>
  <c r="P643" i="38" s="1"/>
  <c r="P644" i="38" a="1"/>
  <c r="P644" i="38" s="1"/>
  <c r="P645" i="38" a="1"/>
  <c r="P645" i="38" s="1"/>
  <c r="P647" i="38" a="1"/>
  <c r="P647" i="38" s="1"/>
  <c r="P648" i="38" a="1"/>
  <c r="P648" i="38" s="1"/>
  <c r="P649" i="38" a="1"/>
  <c r="P649" i="38" s="1"/>
  <c r="P650" i="38" a="1"/>
  <c r="P650" i="38" s="1"/>
  <c r="P651" i="38" a="1"/>
  <c r="P651" i="38" s="1"/>
  <c r="P652" i="38" a="1"/>
  <c r="P652" i="38" s="1"/>
  <c r="P653" i="38" a="1"/>
  <c r="P653" i="38" s="1"/>
  <c r="P654" i="38" a="1"/>
  <c r="P654" i="38" s="1"/>
  <c r="P655" i="38" a="1"/>
  <c r="P655" i="38" s="1"/>
  <c r="P656" i="38" a="1"/>
  <c r="P656" i="38" s="1"/>
  <c r="P657" i="38" a="1"/>
  <c r="P657" i="38" s="1"/>
  <c r="P658" i="38" a="1"/>
  <c r="P658" i="38" s="1"/>
  <c r="P659" i="38" a="1"/>
  <c r="P659" i="38" s="1"/>
  <c r="P660" i="38" a="1"/>
  <c r="P660" i="38" s="1"/>
  <c r="U646" i="38" a="1"/>
  <c r="U646" i="38" s="1"/>
  <c r="T646" i="38" a="1"/>
  <c r="T646" i="38" s="1"/>
  <c r="Q646" i="38" a="1"/>
  <c r="Q646" i="38" s="1"/>
  <c r="R633" i="38" a="1"/>
  <c r="R633" i="38" s="1"/>
  <c r="R634" i="38" a="1"/>
  <c r="R634" i="38" s="1"/>
  <c r="R635" i="38" a="1"/>
  <c r="R635" i="38" s="1"/>
  <c r="R636" i="38" a="1"/>
  <c r="R636" i="38" s="1"/>
  <c r="R637" i="38" a="1"/>
  <c r="R637" i="38" s="1"/>
  <c r="R638" i="38" a="1"/>
  <c r="R638" i="38" s="1"/>
  <c r="R639" i="38" a="1"/>
  <c r="R639" i="38" s="1"/>
  <c r="R640" i="38" a="1"/>
  <c r="R640" i="38" s="1"/>
  <c r="R641" i="38" a="1"/>
  <c r="R641" i="38" s="1"/>
  <c r="R642" i="38" a="1"/>
  <c r="R642" i="38" s="1"/>
  <c r="R643" i="38" a="1"/>
  <c r="R643" i="38" s="1"/>
  <c r="R644" i="38" a="1"/>
  <c r="R644" i="38" s="1"/>
  <c r="R645" i="38" a="1"/>
  <c r="R645" i="38" s="1"/>
  <c r="R647" i="38" a="1"/>
  <c r="R647" i="38" s="1"/>
  <c r="R648" i="38" a="1"/>
  <c r="R648" i="38" s="1"/>
  <c r="R649" i="38" a="1"/>
  <c r="R649" i="38" s="1"/>
  <c r="R650" i="38" a="1"/>
  <c r="R650" i="38" s="1"/>
  <c r="R651" i="38" a="1"/>
  <c r="R651" i="38" s="1"/>
  <c r="R652" i="38" a="1"/>
  <c r="R652" i="38" s="1"/>
  <c r="R653" i="38" a="1"/>
  <c r="R653" i="38" s="1"/>
  <c r="R654" i="38" a="1"/>
  <c r="R654" i="38" s="1"/>
  <c r="R655" i="38" a="1"/>
  <c r="R655" i="38" s="1"/>
  <c r="R656" i="38" a="1"/>
  <c r="R656" i="38" s="1"/>
  <c r="R657" i="38" a="1"/>
  <c r="R657" i="38" s="1"/>
  <c r="R658" i="38" a="1"/>
  <c r="R658" i="38" s="1"/>
  <c r="R659" i="38" a="1"/>
  <c r="R659" i="38" s="1"/>
  <c r="R660" i="38" a="1"/>
  <c r="R660" i="38" s="1"/>
  <c r="S76" i="38"/>
  <c r="T76" i="38" s="1"/>
  <c r="Q76" i="38"/>
  <c r="S496" i="38"/>
  <c r="T496" i="38" s="1"/>
  <c r="U527" i="38" a="1"/>
  <c r="U527" i="38" s="1"/>
  <c r="T527" i="38" a="1"/>
  <c r="T527" i="38" s="1"/>
  <c r="R527" i="38" s="1"/>
  <c r="Q527" i="38" a="1"/>
  <c r="Q527" i="38" s="1"/>
  <c r="U497" i="38" a="1"/>
  <c r="U497" i="38" s="1"/>
  <c r="T497" i="38" a="1"/>
  <c r="T497" i="38" s="1"/>
  <c r="R497" i="38" s="1"/>
  <c r="Q497" i="38" a="1"/>
  <c r="Q497" i="38" s="1"/>
  <c r="U435" i="38" a="1"/>
  <c r="U435" i="38" s="1"/>
  <c r="T435" i="38" a="1"/>
  <c r="T435" i="38" s="1"/>
  <c r="R435" i="38" s="1"/>
  <c r="Q435" i="38" a="1"/>
  <c r="Q435" i="38" s="1"/>
  <c r="U405" i="38" a="1"/>
  <c r="U405" i="38" s="1"/>
  <c r="T405" i="38" a="1"/>
  <c r="T405" i="38" s="1"/>
  <c r="R405" i="38" s="1"/>
  <c r="Q405" i="38" a="1"/>
  <c r="Q405" i="38" s="1"/>
  <c r="U347" i="38" a="1"/>
  <c r="U347" i="38" s="1"/>
  <c r="T347" i="38" a="1"/>
  <c r="T347" i="38" s="1"/>
  <c r="R347" i="38" s="1"/>
  <c r="Q347" i="38" a="1"/>
  <c r="Q347" i="38" s="1"/>
  <c r="U287" i="38" a="1"/>
  <c r="U287" i="38" s="1"/>
  <c r="T287" i="38" a="1"/>
  <c r="T287" i="38" s="1"/>
  <c r="R287" i="38" s="1"/>
  <c r="Q287" i="38" a="1"/>
  <c r="Q287" i="38" s="1"/>
  <c r="U257" i="38" a="1"/>
  <c r="U257" i="38" s="1"/>
  <c r="T257" i="38" a="1"/>
  <c r="T257" i="38" s="1"/>
  <c r="R257" i="38" s="1"/>
  <c r="Q257" i="38" a="1"/>
  <c r="Q257" i="38" s="1"/>
  <c r="U227" i="38" a="1"/>
  <c r="U227" i="38" s="1"/>
  <c r="T227" i="38" a="1"/>
  <c r="T227" i="38" s="1"/>
  <c r="R227" i="38" s="1"/>
  <c r="Q227" i="38" a="1"/>
  <c r="Q227" i="38" s="1"/>
  <c r="U197" i="38" a="1"/>
  <c r="U197" i="38" s="1"/>
  <c r="T197" i="38" a="1"/>
  <c r="T197" i="38" s="1"/>
  <c r="R197" i="38" s="1"/>
  <c r="Q197" i="38" a="1"/>
  <c r="Q197" i="38" s="1"/>
  <c r="U167" i="38" a="1"/>
  <c r="U167" i="38" s="1"/>
  <c r="T167" i="38" a="1"/>
  <c r="T167" i="38" s="1"/>
  <c r="R167" i="38" s="1"/>
  <c r="Q167" i="38" a="1"/>
  <c r="Q167" i="38" s="1"/>
  <c r="U112" i="38" a="1"/>
  <c r="U112" i="38" s="1"/>
  <c r="T112" i="38" a="1"/>
  <c r="T112" i="38" s="1"/>
  <c r="R112" i="38" s="1"/>
  <c r="Q112" i="38" a="1"/>
  <c r="Q112" i="38" s="1"/>
  <c r="U77" i="38" a="1"/>
  <c r="U77" i="38" s="1"/>
  <c r="T77" i="38" a="1"/>
  <c r="T77" i="38" s="1"/>
  <c r="R77" i="38" s="1"/>
  <c r="Q77" i="38" a="1"/>
  <c r="Q77" i="38" s="1"/>
  <c r="B571" i="38" a="1"/>
  <c r="B571" i="38" s="1"/>
  <c r="P570" i="38" a="1"/>
  <c r="P570" i="38" s="1"/>
  <c r="E570" i="38" a="1"/>
  <c r="E570" i="38" s="1"/>
  <c r="P569" i="38" a="1"/>
  <c r="P569" i="38" s="1"/>
  <c r="E569" i="38" a="1"/>
  <c r="E569" i="38" s="1"/>
  <c r="P568" i="38" a="1"/>
  <c r="P568" i="38" s="1"/>
  <c r="E568" i="38" a="1"/>
  <c r="E568" i="38" s="1"/>
  <c r="P567" i="38" a="1"/>
  <c r="P567" i="38" s="1"/>
  <c r="E567" i="38" a="1"/>
  <c r="E567" i="38" s="1"/>
  <c r="P566" i="38" a="1"/>
  <c r="P566" i="38" s="1"/>
  <c r="E566" i="38" a="1"/>
  <c r="E566" i="38" s="1"/>
  <c r="P565" i="38" a="1"/>
  <c r="P565" i="38" s="1"/>
  <c r="E565" i="38" a="1"/>
  <c r="E565" i="38" s="1"/>
  <c r="P564" i="38" a="1"/>
  <c r="P564" i="38" s="1"/>
  <c r="E564" i="38" a="1"/>
  <c r="E564" i="38" s="1"/>
  <c r="P563" i="38" a="1"/>
  <c r="P563" i="38" s="1"/>
  <c r="E563" i="38" a="1"/>
  <c r="E563" i="38" s="1"/>
  <c r="P562" i="38" a="1"/>
  <c r="P562" i="38" s="1"/>
  <c r="E562" i="38" a="1"/>
  <c r="E562" i="38" s="1"/>
  <c r="P561" i="38" a="1"/>
  <c r="P561" i="38" s="1"/>
  <c r="E561" i="38" a="1"/>
  <c r="E561" i="38" s="1"/>
  <c r="P560" i="38" a="1"/>
  <c r="P560" i="38" s="1"/>
  <c r="E560" i="38" a="1"/>
  <c r="E560" i="38" s="1"/>
  <c r="P559" i="38" a="1"/>
  <c r="P559" i="38" s="1"/>
  <c r="E559" i="38" a="1"/>
  <c r="E559" i="38" s="1"/>
  <c r="P558" i="38" a="1"/>
  <c r="P558" i="38" s="1"/>
  <c r="E558" i="38" a="1"/>
  <c r="E558" i="38" s="1"/>
  <c r="P557" i="38" a="1"/>
  <c r="P557" i="38" s="1"/>
  <c r="E557" i="38" a="1"/>
  <c r="E557" i="38" s="1"/>
  <c r="E556" i="38" a="1"/>
  <c r="E556" i="38" s="1"/>
  <c r="P555" i="38" a="1"/>
  <c r="P555" i="38" s="1"/>
  <c r="E555" i="38" a="1"/>
  <c r="E555" i="38" s="1"/>
  <c r="P554" i="38" a="1"/>
  <c r="P554" i="38" s="1"/>
  <c r="P553" i="38" a="1"/>
  <c r="P553" i="38" s="1"/>
  <c r="P552" i="38" a="1"/>
  <c r="P552" i="38" s="1"/>
  <c r="P551" i="38" a="1"/>
  <c r="P551" i="38" s="1"/>
  <c r="F551" i="38" a="1"/>
  <c r="F551" i="38" s="1"/>
  <c r="P550" i="38" a="1"/>
  <c r="P550" i="38" s="1"/>
  <c r="F550" i="38"/>
  <c r="F542" i="38" a="1"/>
  <c r="F542" i="38" s="1"/>
  <c r="M541" i="38" a="1"/>
  <c r="M541" i="38" s="1"/>
  <c r="L541" i="38"/>
  <c r="L542" i="38" s="1"/>
  <c r="K541" i="38" a="1"/>
  <c r="K541" i="38" s="1"/>
  <c r="K542" i="38" s="1"/>
  <c r="J541" i="38" a="1"/>
  <c r="J541" i="38" s="1"/>
  <c r="I541" i="38"/>
  <c r="I542" i="38" s="1" a="1"/>
  <c r="I542" i="38" s="1"/>
  <c r="H541" i="38"/>
  <c r="H542" i="38" s="1" a="1"/>
  <c r="H542" i="38" s="1"/>
  <c r="G541" i="38" a="1"/>
  <c r="G541" i="38" s="1"/>
  <c r="G542" i="38" s="1" a="1"/>
  <c r="G542" i="38" s="1"/>
  <c r="F541" i="38"/>
  <c r="E541" i="38" a="1"/>
  <c r="E541" i="38" s="1"/>
  <c r="D541" i="38" a="1"/>
  <c r="D541" i="38" s="1"/>
  <c r="C541" i="38" a="1"/>
  <c r="C541" i="38" s="1"/>
  <c r="B541" i="38" a="1"/>
  <c r="B541" i="38" s="1"/>
  <c r="P600" i="38" a="1"/>
  <c r="P600" i="38" s="1"/>
  <c r="P599" i="38" a="1"/>
  <c r="P599" i="38" s="1"/>
  <c r="P598" i="38" a="1"/>
  <c r="P598" i="38" s="1"/>
  <c r="P597" i="38" a="1"/>
  <c r="P597" i="38" s="1"/>
  <c r="P596" i="38" a="1"/>
  <c r="P596" i="38" s="1"/>
  <c r="P595" i="38" a="1"/>
  <c r="P595" i="38" s="1"/>
  <c r="P594" i="38" a="1"/>
  <c r="P594" i="38" s="1"/>
  <c r="P593" i="38" a="1"/>
  <c r="P593" i="38" s="1"/>
  <c r="P592" i="38" a="1"/>
  <c r="P592" i="38" s="1"/>
  <c r="P591" i="38" a="1"/>
  <c r="P591" i="38" s="1"/>
  <c r="P590" i="38" a="1"/>
  <c r="P590" i="38" s="1"/>
  <c r="P589" i="38" a="1"/>
  <c r="P589" i="38" s="1"/>
  <c r="P588" i="38" a="1"/>
  <c r="P588" i="38" s="1"/>
  <c r="P587" i="38" a="1"/>
  <c r="P587" i="38" s="1"/>
  <c r="P586" i="38" a="1"/>
  <c r="P586" i="38" s="1"/>
  <c r="P585" i="38" a="1"/>
  <c r="P585" i="38" s="1"/>
  <c r="P584" i="38" a="1"/>
  <c r="P584" i="38" s="1"/>
  <c r="P583" i="38" a="1"/>
  <c r="P583" i="38" s="1"/>
  <c r="P582" i="38" a="1"/>
  <c r="P582" i="38" s="1"/>
  <c r="P581" i="38" a="1"/>
  <c r="P581" i="38" s="1"/>
  <c r="P580" i="38" a="1"/>
  <c r="P580" i="38" s="1"/>
  <c r="P579" i="38" a="1"/>
  <c r="P579" i="38" s="1"/>
  <c r="P578" i="38" a="1"/>
  <c r="P578" i="38" s="1"/>
  <c r="P577" i="38" a="1"/>
  <c r="P577" i="38" s="1"/>
  <c r="P576" i="38" a="1"/>
  <c r="P576" i="38" s="1"/>
  <c r="P575" i="38" a="1"/>
  <c r="P575" i="38" s="1"/>
  <c r="P574" i="38" a="1"/>
  <c r="P574" i="38" s="1"/>
  <c r="T571" i="38" a="1"/>
  <c r="T571" i="38" s="1"/>
  <c r="P571" i="38" s="1" a="1"/>
  <c r="P571" i="38" s="1"/>
  <c r="M571" i="38" a="1"/>
  <c r="M571" i="38" s="1"/>
  <c r="F571" i="38"/>
  <c r="D571" i="38" a="1"/>
  <c r="D571" i="38" s="1"/>
  <c r="C571" i="38" a="1"/>
  <c r="C571" i="38" s="1"/>
  <c r="G2" i="19" l="1" a="1"/>
  <c r="G2" i="19" s="1"/>
  <c r="G1" i="19" a="1"/>
  <c r="G1" i="19" s="1"/>
  <c r="F2" i="19" a="1"/>
  <c r="F2" i="19" s="1"/>
  <c r="V76" i="38" a="1"/>
  <c r="V76" i="38" s="1"/>
  <c r="R646" i="38"/>
  <c r="V496" i="38" a="1"/>
  <c r="V496" i="38" s="1"/>
  <c r="R496" i="38"/>
  <c r="R76" i="38"/>
  <c r="H2" i="19" a="1"/>
  <c r="H2" i="19" s="1"/>
  <c r="K2" i="19" a="1"/>
  <c r="K2" i="19" s="1"/>
  <c r="I2" i="19" a="1"/>
  <c r="I2" i="19" s="1"/>
  <c r="P573" i="38" a="1"/>
  <c r="P573" i="38" s="1"/>
  <c r="P572" i="38" a="1"/>
  <c r="P572" i="38" s="1"/>
  <c r="R571" i="38" a="1"/>
  <c r="R571" i="38" s="1"/>
  <c r="K35" i="40" l="1"/>
  <c r="Q458" i="38" l="1"/>
  <c r="F526" i="38"/>
  <c r="F511" i="38"/>
  <c r="F496" i="38"/>
  <c r="F481" i="38"/>
  <c r="F466" i="38"/>
  <c r="F451" i="38"/>
  <c r="F436" i="38"/>
  <c r="F421" i="38"/>
  <c r="F406" i="38"/>
  <c r="F391" i="38"/>
  <c r="F376" i="38"/>
  <c r="F361" i="38"/>
  <c r="F346" i="38"/>
  <c r="F331" i="38"/>
  <c r="F286" i="38"/>
  <c r="F271" i="38"/>
  <c r="F256" i="38"/>
  <c r="F241" i="38"/>
  <c r="F226" i="38"/>
  <c r="F211" i="38"/>
  <c r="F196" i="38"/>
  <c r="F181" i="38"/>
  <c r="F166" i="38"/>
  <c r="F151" i="38"/>
  <c r="F106" i="38"/>
  <c r="B31" i="1" l="1" a="1"/>
  <c r="B31" i="1" s="1"/>
  <c r="D22" i="39"/>
  <c r="A22" i="39"/>
  <c r="J1" i="19" l="1" a="1"/>
  <c r="J1" i="19" s="1"/>
  <c r="J2" i="19" a="1"/>
  <c r="J2" i="19" s="1"/>
  <c r="B2" i="19" a="1"/>
  <c r="B2" i="19" s="1"/>
  <c r="I1" i="19" a="1"/>
  <c r="I1" i="19" s="1"/>
  <c r="L1" i="19" a="1"/>
  <c r="L1" i="19" s="1"/>
  <c r="L2" i="19" a="1"/>
  <c r="L2" i="19" s="1"/>
  <c r="K1" i="19" a="1"/>
  <c r="K1" i="19" s="1"/>
  <c r="I22" i="39"/>
  <c r="H22" i="39"/>
  <c r="C22" i="39"/>
  <c r="C2" i="19" a="1"/>
  <c r="C2" i="19" s="1"/>
  <c r="A2" i="19" a="1"/>
  <c r="A2" i="19" s="1"/>
  <c r="W110" i="38" l="1" a="1"/>
  <c r="W110" i="38" s="1"/>
  <c r="P110" i="38" s="1" a="1"/>
  <c r="P110" i="38" s="1"/>
  <c r="W113" i="38" a="1"/>
  <c r="W113" i="38" s="1"/>
  <c r="P113" i="38" s="1" a="1"/>
  <c r="P113" i="38" s="1"/>
  <c r="W114" i="38" a="1"/>
  <c r="W114" i="38" s="1"/>
  <c r="P114" i="38" s="1" a="1"/>
  <c r="P114" i="38" s="1"/>
  <c r="W115" i="38" a="1"/>
  <c r="W115" i="38" s="1"/>
  <c r="P115" i="38" s="1" a="1"/>
  <c r="P115" i="38" s="1"/>
  <c r="W116" i="38" a="1"/>
  <c r="W116" i="38" s="1"/>
  <c r="P116" i="38" s="1" a="1"/>
  <c r="P116" i="38" s="1"/>
  <c r="U92" i="38" a="1"/>
  <c r="U92" i="38" s="1"/>
  <c r="U93" i="38" a="1"/>
  <c r="U93" i="38" s="1"/>
  <c r="U94" i="38" a="1"/>
  <c r="U94" i="38" s="1"/>
  <c r="U95" i="38" a="1"/>
  <c r="U95" i="38" s="1"/>
  <c r="U96" i="38" a="1"/>
  <c r="U96" i="38" s="1"/>
  <c r="U97" i="38" a="1"/>
  <c r="U97" i="38" s="1"/>
  <c r="U98" i="38" a="1"/>
  <c r="U98" i="38" s="1"/>
  <c r="U99" i="38" a="1"/>
  <c r="U99" i="38" s="1"/>
  <c r="U100" i="38" a="1"/>
  <c r="U100" i="38" s="1"/>
  <c r="U101" i="38" a="1"/>
  <c r="U101" i="38" s="1"/>
  <c r="U102" i="38" a="1"/>
  <c r="U102" i="38" s="1"/>
  <c r="U103" i="38" a="1"/>
  <c r="U103" i="38" s="1"/>
  <c r="U104" i="38" a="1"/>
  <c r="U104" i="38" s="1"/>
  <c r="U105" i="38" a="1"/>
  <c r="U105" i="38" s="1"/>
  <c r="U106" i="38" a="1"/>
  <c r="U106" i="38" s="1"/>
  <c r="U107" i="38" a="1"/>
  <c r="U107" i="38" s="1"/>
  <c r="U108" i="38" a="1"/>
  <c r="U108" i="38" s="1"/>
  <c r="U109" i="38" a="1"/>
  <c r="U109" i="38" s="1"/>
  <c r="U110" i="38" a="1"/>
  <c r="U110" i="38" s="1"/>
  <c r="U113" i="38" a="1"/>
  <c r="U113" i="38" s="1"/>
  <c r="U114" i="38" a="1"/>
  <c r="U114" i="38" s="1"/>
  <c r="U115" i="38" a="1"/>
  <c r="U115" i="38" s="1"/>
  <c r="U116" i="38" a="1"/>
  <c r="U116" i="38" s="1"/>
  <c r="U117" i="38" a="1"/>
  <c r="U117" i="38" s="1"/>
  <c r="U118" i="38" a="1"/>
  <c r="U118" i="38" s="1"/>
  <c r="U119" i="38" a="1"/>
  <c r="U119" i="38" s="1"/>
  <c r="U120" i="38" a="1"/>
  <c r="U120" i="38" s="1"/>
  <c r="U91" i="38" a="1"/>
  <c r="U91" i="38" s="1"/>
  <c r="R120" i="38"/>
  <c r="Q120" i="38" a="1"/>
  <c r="Q120" i="38" s="1"/>
  <c r="Q119" i="38" a="1"/>
  <c r="Q119" i="38" s="1"/>
  <c r="Q118" i="38" a="1"/>
  <c r="Q118" i="38" s="1"/>
  <c r="Q117" i="38" a="1"/>
  <c r="Q117" i="38" s="1"/>
  <c r="Q116" i="38" a="1"/>
  <c r="Q116" i="38" s="1"/>
  <c r="Q115" i="38" a="1"/>
  <c r="Q115" i="38" s="1"/>
  <c r="Q114" i="38" a="1"/>
  <c r="Q114" i="38" s="1"/>
  <c r="Q113" i="38" a="1"/>
  <c r="Q113" i="38" s="1"/>
  <c r="Q110" i="38" a="1"/>
  <c r="Q110" i="38" s="1"/>
  <c r="Q109" i="38" a="1"/>
  <c r="Q109" i="38" s="1"/>
  <c r="Q108" i="38" a="1"/>
  <c r="Q108" i="38" s="1"/>
  <c r="Q107" i="38" a="1"/>
  <c r="Q107" i="38" s="1"/>
  <c r="Q106" i="38" a="1"/>
  <c r="Q106" i="38" s="1"/>
  <c r="Q105" i="38" a="1"/>
  <c r="Q105" i="38" s="1"/>
  <c r="Q104" i="38" a="1"/>
  <c r="Q104" i="38" s="1"/>
  <c r="Q103" i="38" a="1"/>
  <c r="Q103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Q95" i="38" a="1"/>
  <c r="Q95" i="38" s="1"/>
  <c r="Q94" i="38" a="1"/>
  <c r="Q94" i="38" s="1"/>
  <c r="Q93" i="38" a="1"/>
  <c r="Q93" i="38" s="1"/>
  <c r="Q92" i="38" a="1"/>
  <c r="Q92" i="38" s="1"/>
  <c r="Q91" i="38" a="1"/>
  <c r="Q91" i="38" s="1"/>
  <c r="U465" i="38" a="1"/>
  <c r="U465" i="38" s="1"/>
  <c r="T465" i="38" a="1"/>
  <c r="T465" i="38" s="1"/>
  <c r="R465" i="38" s="1"/>
  <c r="T109" i="38" a="1"/>
  <c r="T109" i="38" s="1"/>
  <c r="R109" i="38" s="1"/>
  <c r="V109" i="38" a="1"/>
  <c r="V109" i="38" s="1"/>
  <c r="T118" i="38" a="1"/>
  <c r="T118" i="38" s="1"/>
  <c r="T119" i="38" a="1"/>
  <c r="T119" i="38" s="1"/>
  <c r="T120" i="38" a="1"/>
  <c r="T120" i="38" s="1"/>
  <c r="T113" i="38" a="1"/>
  <c r="T113" i="38" s="1"/>
  <c r="T114" i="38" a="1"/>
  <c r="T114" i="38" s="1"/>
  <c r="T115" i="38" a="1"/>
  <c r="T115" i="38" s="1"/>
  <c r="T116" i="38" a="1"/>
  <c r="T116" i="38" s="1"/>
  <c r="T117" i="38" a="1"/>
  <c r="T117" i="38" s="1"/>
  <c r="T110" i="38" a="1"/>
  <c r="T110" i="38" s="1"/>
  <c r="T92" i="38" a="1"/>
  <c r="T92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T91" i="38" a="1"/>
  <c r="T91" i="38" s="1"/>
  <c r="T89" i="38" a="1"/>
  <c r="T89" i="38" s="1"/>
  <c r="H91" i="38"/>
  <c r="H1" i="19" s="1" a="1"/>
  <c r="H1" i="19" s="1"/>
  <c r="F91" i="38"/>
  <c r="F1" i="19" l="1" a="1"/>
  <c r="F1" i="19" s="1"/>
  <c r="T417" i="38" a="1"/>
  <c r="T417" i="38" s="1"/>
  <c r="T420" i="38" a="1"/>
  <c r="T420" i="38" s="1"/>
  <c r="V408" i="38" l="1"/>
  <c r="AC83" i="36"/>
  <c r="AC84" i="36"/>
  <c r="AC85" i="36"/>
  <c r="AC86" i="36"/>
  <c r="U406" i="38"/>
  <c r="U407" i="38"/>
  <c r="U408" i="38"/>
  <c r="U409" i="38"/>
  <c r="U410" i="38"/>
  <c r="U411" i="38"/>
  <c r="U412" i="38"/>
  <c r="U413" i="38"/>
  <c r="T406" i="38" a="1"/>
  <c r="T406" i="38" s="1"/>
  <c r="R406" i="38" s="1"/>
  <c r="Q406" i="38"/>
  <c r="T407" i="38" a="1"/>
  <c r="T407" i="38" s="1"/>
  <c r="R407" i="38" s="1"/>
  <c r="T408" i="38" a="1"/>
  <c r="T408" i="38" s="1"/>
  <c r="R408" i="38" s="1"/>
  <c r="T409" i="38" a="1"/>
  <c r="T409" i="38" s="1"/>
  <c r="R409" i="38" s="1"/>
  <c r="T410" i="38" a="1"/>
  <c r="T410" i="38" s="1"/>
  <c r="R410" i="38" s="1"/>
  <c r="T411" i="38" a="1"/>
  <c r="T411" i="38" s="1"/>
  <c r="R411" i="38" s="1"/>
  <c r="T412" i="38" a="1"/>
  <c r="T412" i="38" s="1"/>
  <c r="R412" i="38" s="1"/>
  <c r="T413" i="38" a="1"/>
  <c r="T413" i="38" s="1"/>
  <c r="R413" i="38" s="1"/>
  <c r="Q407" i="38"/>
  <c r="Q408" i="38"/>
  <c r="Q409" i="38"/>
  <c r="Q410" i="38"/>
  <c r="Q411" i="38"/>
  <c r="Q412" i="38"/>
  <c r="Q413" i="38"/>
  <c r="AC82" i="36"/>
  <c r="AC81" i="36"/>
  <c r="AC87" i="36"/>
  <c r="AC88" i="36"/>
  <c r="Q438" i="38"/>
  <c r="T438" i="38" a="1"/>
  <c r="T438" i="38" s="1"/>
  <c r="W437" i="38" a="1"/>
  <c r="W437" i="38" s="1"/>
  <c r="T429" i="38" a="1"/>
  <c r="T429" i="38" s="1"/>
  <c r="R429" i="38" s="1"/>
  <c r="Q429" i="38" a="1"/>
  <c r="Q429" i="38" s="1"/>
  <c r="T457" i="38" a="1"/>
  <c r="T457" i="38" s="1"/>
  <c r="S458" i="38"/>
  <c r="R458" i="38" s="1"/>
  <c r="Q457" i="38" a="1"/>
  <c r="Q457" i="38" s="1"/>
  <c r="Q427" i="38" a="1"/>
  <c r="Q427" i="38" s="1"/>
  <c r="Q428" i="38" a="1"/>
  <c r="Q428" i="38" s="1"/>
  <c r="T427" i="38" a="1"/>
  <c r="T427" i="38" s="1"/>
  <c r="T428" i="38" a="1"/>
  <c r="T428" i="38" s="1"/>
  <c r="AC75" i="36"/>
  <c r="AC76" i="36"/>
  <c r="AC77" i="36"/>
  <c r="AC78" i="36"/>
  <c r="AC79" i="36"/>
  <c r="AC80" i="36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R448" i="38" s="1"/>
  <c r="Q448" i="38"/>
  <c r="U447" i="38"/>
  <c r="T447" i="38" a="1"/>
  <c r="T447" i="38" s="1"/>
  <c r="R447" i="38" s="1"/>
  <c r="Q447" i="38"/>
  <c r="U446" i="38"/>
  <c r="T446" i="38" a="1"/>
  <c r="T446" i="38" s="1"/>
  <c r="R446" i="38" s="1"/>
  <c r="Q446" i="38"/>
  <c r="U445" i="38"/>
  <c r="T445" i="38" a="1"/>
  <c r="T445" i="38" s="1"/>
  <c r="Q445" i="38"/>
  <c r="U444" i="38"/>
  <c r="T444" i="38" a="1"/>
  <c r="T444" i="38" s="1"/>
  <c r="Q444" i="38"/>
  <c r="T443" i="38" a="1"/>
  <c r="T443" i="38" s="1"/>
  <c r="Q443" i="38"/>
  <c r="R443" i="38" s="1"/>
  <c r="T442" i="38" a="1"/>
  <c r="T442" i="38" s="1"/>
  <c r="R442" i="38" s="1"/>
  <c r="Q442" i="38"/>
  <c r="T441" i="38" a="1"/>
  <c r="T441" i="38" s="1"/>
  <c r="R441" i="38" s="1"/>
  <c r="Q441" i="38"/>
  <c r="T440" i="38" a="1"/>
  <c r="T440" i="38" s="1"/>
  <c r="Q440" i="38"/>
  <c r="T439" i="38" a="1"/>
  <c r="T439" i="38" s="1"/>
  <c r="Q439" i="38"/>
  <c r="P436" i="38" a="1"/>
  <c r="P436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T426" i="38" a="1"/>
  <c r="T426" i="38" s="1"/>
  <c r="Q426" i="38" a="1"/>
  <c r="Q426" i="38" s="1"/>
  <c r="T425" i="38" a="1"/>
  <c r="T425" i="38" s="1"/>
  <c r="Q425" i="38" a="1"/>
  <c r="Q425" i="38" s="1"/>
  <c r="T424" i="38" a="1"/>
  <c r="T424" i="38" s="1"/>
  <c r="R424" i="38" s="1"/>
  <c r="Q424" i="38" a="1"/>
  <c r="Q424" i="38" s="1"/>
  <c r="T423" i="38" a="1"/>
  <c r="T423" i="38" s="1"/>
  <c r="Q423" i="38" a="1"/>
  <c r="Q423" i="38" s="1"/>
  <c r="T422" i="38" a="1"/>
  <c r="T422" i="38" s="1"/>
  <c r="R422" i="38" s="1"/>
  <c r="Q422" i="38" a="1"/>
  <c r="Q422" i="38" s="1"/>
  <c r="T421" i="38" a="1"/>
  <c r="T421" i="38" s="1"/>
  <c r="R421" i="38" s="1"/>
  <c r="Q421" i="38" a="1"/>
  <c r="Q421" i="38" s="1"/>
  <c r="T456" i="38" a="1"/>
  <c r="T456" i="38" s="1"/>
  <c r="Q456" i="38" a="1"/>
  <c r="Q456" i="38" s="1"/>
  <c r="T455" i="38" a="1"/>
  <c r="T455" i="38" s="1"/>
  <c r="Q455" i="38" a="1"/>
  <c r="Q455" i="38" s="1"/>
  <c r="T454" i="38" a="1"/>
  <c r="T454" i="38" s="1"/>
  <c r="Q454" i="38" a="1"/>
  <c r="Q454" i="38" s="1"/>
  <c r="T453" i="38" a="1"/>
  <c r="T453" i="38" s="1"/>
  <c r="Q453" i="38" a="1"/>
  <c r="Q453" i="38" s="1"/>
  <c r="Q467" i="38"/>
  <c r="T467" i="38" a="1"/>
  <c r="T467" i="38" s="1"/>
  <c r="R467" i="38" s="1"/>
  <c r="Q468" i="38"/>
  <c r="T468" i="38" a="1"/>
  <c r="T468" i="38" s="1"/>
  <c r="R468" i="38" s="1"/>
  <c r="Q469" i="38"/>
  <c r="T469" i="38" a="1"/>
  <c r="T469" i="38" s="1"/>
  <c r="R469" i="38" s="1"/>
  <c r="Q470" i="38"/>
  <c r="T470" i="38" a="1"/>
  <c r="T470" i="38" s="1"/>
  <c r="R470" i="38" s="1"/>
  <c r="Q471" i="38"/>
  <c r="T471" i="38" a="1"/>
  <c r="T471" i="38" s="1"/>
  <c r="R471" i="38" s="1"/>
  <c r="Q472" i="38"/>
  <c r="T472" i="38" a="1"/>
  <c r="T472" i="38" s="1"/>
  <c r="R472" i="38" s="1"/>
  <c r="Q473" i="38"/>
  <c r="R473" i="38" s="1"/>
  <c r="T473" i="38" a="1"/>
  <c r="T473" i="38" s="1"/>
  <c r="P372" i="38" a="1"/>
  <c r="P372" i="38" s="1"/>
  <c r="P373" i="38" a="1"/>
  <c r="P373" i="38" s="1"/>
  <c r="P374" i="38" a="1"/>
  <c r="P374" i="38" s="1"/>
  <c r="P375" i="38" a="1"/>
  <c r="P375" i="38" s="1"/>
  <c r="P376" i="38" a="1"/>
  <c r="P376" i="38" s="1"/>
  <c r="P378" i="38" a="1"/>
  <c r="P378" i="38" s="1"/>
  <c r="T362" i="38" a="1"/>
  <c r="T362" i="38" s="1"/>
  <c r="R362" i="38" s="1"/>
  <c r="T363" i="38" a="1"/>
  <c r="T363" i="38" s="1"/>
  <c r="R363" i="38" s="1"/>
  <c r="T364" i="38" a="1"/>
  <c r="T364" i="38" s="1"/>
  <c r="T365" i="38" a="1"/>
  <c r="T365" i="38" s="1"/>
  <c r="Q362" i="38" a="1"/>
  <c r="Q362" i="38" s="1"/>
  <c r="Q363" i="38" a="1"/>
  <c r="Q363" i="38" s="1"/>
  <c r="Q364" i="38" a="1"/>
  <c r="Q364" i="38" s="1"/>
  <c r="Q365" i="38" a="1"/>
  <c r="Q365" i="38" s="1"/>
  <c r="Q366" i="38" a="1"/>
  <c r="Q366" i="38" s="1"/>
  <c r="Q367" i="38" a="1"/>
  <c r="Q367" i="38" s="1"/>
  <c r="Q368" i="38" a="1"/>
  <c r="Q368" i="38" s="1"/>
  <c r="Q369" i="38" a="1"/>
  <c r="Q369" i="38" s="1"/>
  <c r="Q370" i="38" a="1"/>
  <c r="Q370" i="38" s="1"/>
  <c r="Q371" i="38" a="1"/>
  <c r="Q371" i="38" s="1"/>
  <c r="Q372" i="38" a="1"/>
  <c r="Q372" i="38" s="1"/>
  <c r="Q373" i="38" a="1"/>
  <c r="Q373" i="38" s="1"/>
  <c r="Q374" i="38" a="1"/>
  <c r="Q374" i="38" s="1"/>
  <c r="Q375" i="38" a="1"/>
  <c r="Q375" i="38" s="1"/>
  <c r="Q376" i="38" a="1"/>
  <c r="Q376" i="38" s="1"/>
  <c r="Q377" i="38" a="1"/>
  <c r="Q377" i="38" s="1"/>
  <c r="Q378" i="38" a="1"/>
  <c r="Q378" i="38" s="1"/>
  <c r="Q379" i="38" a="1"/>
  <c r="Q379" i="38" s="1"/>
  <c r="G61" i="38"/>
  <c r="S66" i="38" s="1"/>
  <c r="S65" i="38"/>
  <c r="W449" i="38" l="1" a="1"/>
  <c r="W449" i="38" s="1"/>
  <c r="T66" i="38"/>
  <c r="R66" i="38" s="1"/>
  <c r="Q66" i="38"/>
  <c r="W438" i="38" a="1"/>
  <c r="W438" i="38" s="1"/>
  <c r="W406" i="38" a="1"/>
  <c r="W406" i="38" s="1"/>
  <c r="W413" i="38" a="1"/>
  <c r="W413" i="38" s="1"/>
  <c r="W412" i="38" a="1"/>
  <c r="W412" i="38" s="1"/>
  <c r="W411" i="38" a="1"/>
  <c r="W411" i="38" s="1"/>
  <c r="W410" i="38" a="1"/>
  <c r="W410" i="38" s="1"/>
  <c r="W408" i="38" a="1"/>
  <c r="W408" i="38" s="1"/>
  <c r="W407" i="38" a="1"/>
  <c r="W407" i="38" s="1"/>
  <c r="W409" i="38" a="1"/>
  <c r="W409" i="38" s="1"/>
  <c r="W432" i="38" a="1"/>
  <c r="W432" i="38" s="1"/>
  <c r="P432" i="38" s="1" a="1"/>
  <c r="P432" i="38" s="1"/>
  <c r="R438" i="38"/>
  <c r="R439" i="38"/>
  <c r="W439" i="38" a="1"/>
  <c r="W439" i="38" s="1"/>
  <c r="W429" i="38" a="1"/>
  <c r="W429" i="38" s="1"/>
  <c r="W425" i="38" a="1"/>
  <c r="W425" i="38" s="1"/>
  <c r="W424" i="38" a="1"/>
  <c r="W424" i="38" s="1"/>
  <c r="W423" i="38" a="1"/>
  <c r="W423" i="38" s="1"/>
  <c r="W422" i="38" a="1"/>
  <c r="W422" i="38" s="1"/>
  <c r="R427" i="38"/>
  <c r="W427" i="38" a="1"/>
  <c r="W427" i="38" s="1"/>
  <c r="R426" i="38"/>
  <c r="W426" i="38" a="1"/>
  <c r="W426" i="38" s="1"/>
  <c r="R428" i="38"/>
  <c r="W428" i="38" a="1"/>
  <c r="W428" i="38" s="1"/>
  <c r="R454" i="38"/>
  <c r="R457" i="38"/>
  <c r="R453" i="38"/>
  <c r="V458" i="38" a="1"/>
  <c r="V458" i="38" s="1"/>
  <c r="T458" i="38"/>
  <c r="R455" i="38"/>
  <c r="R425" i="38"/>
  <c r="W431" i="38" a="1"/>
  <c r="W431" i="38" s="1"/>
  <c r="P431" i="38" s="1" a="1"/>
  <c r="P431" i="38" s="1"/>
  <c r="R423" i="38"/>
  <c r="W443" i="38" a="1"/>
  <c r="W443" i="38" s="1"/>
  <c r="W446" i="38" a="1"/>
  <c r="W446" i="38" s="1"/>
  <c r="W450" i="38" a="1"/>
  <c r="W450" i="38" s="1"/>
  <c r="W448" i="38" a="1"/>
  <c r="W448" i="38" s="1"/>
  <c r="W447" i="38" a="1"/>
  <c r="W447" i="38" s="1"/>
  <c r="W442" i="38" a="1"/>
  <c r="W442" i="38" s="1"/>
  <c r="W421" i="38" a="1"/>
  <c r="W421" i="38" s="1"/>
  <c r="W441" i="38" a="1"/>
  <c r="W441" i="38" s="1"/>
  <c r="W433" i="38" a="1"/>
  <c r="W433" i="38" s="1"/>
  <c r="P433" i="38" s="1" a="1"/>
  <c r="P433" i="38" s="1"/>
  <c r="W440" i="38" a="1"/>
  <c r="W440" i="38" s="1"/>
  <c r="R440" i="38"/>
  <c r="W445" i="38" a="1"/>
  <c r="W445" i="38" s="1"/>
  <c r="R445" i="38"/>
  <c r="W444" i="38" a="1"/>
  <c r="W444" i="38" s="1"/>
  <c r="R444" i="38"/>
  <c r="R456" i="38"/>
  <c r="V65" i="38" a="1"/>
  <c r="V65" i="38" s="1"/>
  <c r="G311" i="38"/>
  <c r="T65" i="38" l="1"/>
  <c r="R65" i="38"/>
  <c r="AC73" i="36" l="1"/>
  <c r="AC74" i="36"/>
  <c r="AC62" i="36"/>
  <c r="AC63" i="36"/>
  <c r="AC64" i="36"/>
  <c r="W473" i="38" s="1" a="1"/>
  <c r="W473" i="38" s="1"/>
  <c r="AC65" i="36"/>
  <c r="W471" i="38" s="1" a="1"/>
  <c r="W471" i="38" s="1"/>
  <c r="AC66" i="36"/>
  <c r="W472" i="38" s="1" a="1"/>
  <c r="W472" i="38" s="1"/>
  <c r="AC67" i="36"/>
  <c r="W469" i="38" s="1" a="1"/>
  <c r="W469" i="38" s="1"/>
  <c r="AC68" i="36"/>
  <c r="W470" i="38" s="1" a="1"/>
  <c r="W470" i="38" s="1"/>
  <c r="AC69" i="36"/>
  <c r="W468" i="38" s="1" a="1"/>
  <c r="W468" i="38" s="1"/>
  <c r="AC70" i="36"/>
  <c r="W467" i="38" s="1" a="1"/>
  <c r="W467" i="38" s="1"/>
  <c r="AC71" i="36"/>
  <c r="AC72" i="36"/>
  <c r="AC89" i="36"/>
  <c r="AC90" i="36"/>
  <c r="AC91" i="36"/>
  <c r="AC92" i="36"/>
  <c r="AC93" i="36"/>
  <c r="AC94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T459" i="38" l="1" a="1"/>
  <c r="T459" i="38" s="1"/>
  <c r="T460" i="38" a="1"/>
  <c r="T460" i="38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Q474" i="38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T371" i="38" a="1"/>
  <c r="T371" i="38" s="1"/>
  <c r="R371" i="38" s="1"/>
  <c r="T370" i="38" a="1"/>
  <c r="T370" i="38" s="1"/>
  <c r="R370" i="38" s="1"/>
  <c r="T369" i="38" a="1"/>
  <c r="T369" i="38" s="1"/>
  <c r="R369" i="38" s="1"/>
  <c r="T368" i="38" a="1"/>
  <c r="T368" i="38" s="1"/>
  <c r="R368" i="38" s="1"/>
  <c r="T367" i="38" a="1"/>
  <c r="T367" i="38" s="1"/>
  <c r="R367" i="38" s="1"/>
  <c r="T366" i="38" a="1"/>
  <c r="T366" i="38" s="1"/>
  <c r="R366" i="38" s="1"/>
  <c r="R365" i="38"/>
  <c r="W364" i="38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459" i="38" l="1" a="1"/>
  <c r="W459" i="38" s="1"/>
  <c r="P459" i="38" s="1" a="1"/>
  <c r="P459" i="38" s="1"/>
  <c r="R478" i="38"/>
  <c r="R477" i="38"/>
  <c r="R476" i="38"/>
  <c r="R475" i="38"/>
  <c r="W475" i="38" a="1"/>
  <c r="W475" i="38" s="1"/>
  <c r="R474" i="38"/>
  <c r="W474" i="38" a="1"/>
  <c r="W474" i="38" s="1"/>
  <c r="W366" i="38" a="1"/>
  <c r="W366" i="38" s="1"/>
  <c r="P366" i="38" s="1" a="1"/>
  <c r="P366" i="38" s="1"/>
  <c r="W463" i="38" a="1"/>
  <c r="W463" i="38" s="1"/>
  <c r="P463" i="38" s="1" a="1"/>
  <c r="P463" i="38" s="1"/>
  <c r="W460" i="38" a="1"/>
  <c r="W460" i="38" s="1"/>
  <c r="P460" i="38" s="1" a="1"/>
  <c r="P460" i="38" s="1"/>
  <c r="W461" i="38" a="1"/>
  <c r="W461" i="38" s="1"/>
  <c r="P461" i="38" s="1" a="1"/>
  <c r="P461" i="38" s="1"/>
  <c r="W462" i="38" a="1"/>
  <c r="W462" i="38" s="1"/>
  <c r="P462" i="38" s="1" a="1"/>
  <c r="P462" i="38" s="1"/>
  <c r="P466" i="38" a="1"/>
  <c r="P466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J361" i="38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I271" i="38"/>
  <c r="J271" i="38"/>
  <c r="K271" i="38"/>
  <c r="L271" i="38"/>
  <c r="H271" i="38"/>
  <c r="V283" i="38"/>
  <c r="R283" i="38"/>
  <c r="G271" i="38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R118" i="38" l="1"/>
  <c r="P311" i="38" a="1"/>
  <c r="P311" i="38" s="1"/>
  <c r="P307" i="38" a="1"/>
  <c r="P307" i="38" s="1"/>
  <c r="P306" i="38" a="1"/>
  <c r="P306" i="38" s="1"/>
  <c r="P308" i="38" a="1"/>
  <c r="P308" i="38" s="1"/>
  <c r="P305" i="38" a="1"/>
  <c r="P305" i="38" s="1"/>
  <c r="P309" i="38" a="1"/>
  <c r="P309" i="38" s="1"/>
  <c r="P310" i="38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R292" i="38"/>
  <c r="AC59" i="36" l="1"/>
  <c r="W295" i="38" s="1" a="1"/>
  <c r="W295" i="38" s="1"/>
  <c r="AC58" i="36"/>
  <c r="W294" i="38" s="1" a="1"/>
  <c r="W294" i="38" s="1"/>
  <c r="AC57" i="36"/>
  <c r="W293" i="38" s="1" a="1"/>
  <c r="W293" i="38" s="1"/>
  <c r="AC56" i="36"/>
  <c r="W292" i="38" s="1" a="1"/>
  <c r="W292" i="38" s="1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1" i="38" l="1" a="1"/>
  <c r="W211" i="38" s="1"/>
  <c r="W235" i="38" a="1"/>
  <c r="W235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W479" i="38" s="1" a="1"/>
  <c r="W479" i="38" s="1"/>
  <c r="AC31" i="36"/>
  <c r="W480" i="38" s="1" a="1"/>
  <c r="W480" i="38" s="1"/>
  <c r="AC32" i="36"/>
  <c r="AC33" i="36"/>
  <c r="AC34" i="36"/>
  <c r="AC35" i="36"/>
  <c r="W299" i="38" s="1" a="1"/>
  <c r="W299" i="38" s="1"/>
  <c r="AC36" i="36"/>
  <c r="AC37" i="36"/>
  <c r="AC38" i="36"/>
  <c r="AC39" i="36"/>
  <c r="AC40" i="36"/>
  <c r="AC41" i="36"/>
  <c r="AC42" i="36"/>
  <c r="W478" i="38" s="1" a="1"/>
  <c r="W478" i="38" s="1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Q180" i="38"/>
  <c r="Q175" i="38"/>
  <c r="W300" i="38" l="1" a="1"/>
  <c r="W300" i="38" s="1"/>
  <c r="W120" i="38" a="1"/>
  <c r="W120" i="38" s="1"/>
  <c r="W390" i="38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W119" i="38" l="1" a="1"/>
  <c r="W119" i="38" s="1"/>
  <c r="W477" i="38" a="1"/>
  <c r="W477" i="38" s="1"/>
  <c r="W328" i="38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83" i="38" l="1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87" i="38" a="1"/>
  <c r="W87" i="38" s="1"/>
  <c r="W89" i="38" a="1"/>
  <c r="W89" i="38" s="1"/>
  <c r="R86" i="38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G391" i="38" l="1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Q420" i="38"/>
  <c r="U419" i="38"/>
  <c r="T419" i="38" a="1"/>
  <c r="T419" i="38" s="1"/>
  <c r="Q419" i="38"/>
  <c r="U418" i="38"/>
  <c r="T418" i="38" a="1"/>
  <c r="T418" i="38" s="1"/>
  <c r="Q418" i="38"/>
  <c r="U417" i="38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08" i="38" a="1"/>
  <c r="P408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2" i="38" a="1"/>
  <c r="W402" i="38" s="1"/>
  <c r="P402" i="38" s="1" a="1"/>
  <c r="P402" i="38" s="1"/>
  <c r="W417" i="38" a="1"/>
  <c r="W417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T62" i="38" l="1" a="1"/>
  <c r="T62" i="38" s="1"/>
  <c r="T63" i="38" a="1"/>
  <c r="T63" i="38" s="1"/>
  <c r="T64" i="38" a="1"/>
  <c r="T64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61" i="38" a="1"/>
  <c r="T61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W118" i="38" s="1" a="1"/>
  <c r="W118" i="38" s="1"/>
  <c r="Y27" i="36"/>
  <c r="AC27" i="36" s="1"/>
  <c r="W476" i="38" s="1" a="1"/>
  <c r="W476" i="38" s="1"/>
  <c r="Y26" i="36"/>
  <c r="AC26" i="36" s="1"/>
  <c r="W177" i="38" s="1" a="1"/>
  <c r="W177" i="38" s="1"/>
  <c r="Y25" i="36"/>
  <c r="AC25" i="36" s="1"/>
  <c r="W86" i="38" s="1" a="1"/>
  <c r="W86" i="38" s="1"/>
  <c r="Y24" i="36"/>
  <c r="AC24" i="36" s="1"/>
  <c r="Y23" i="36"/>
  <c r="AC23" i="36" s="1"/>
  <c r="AC48" i="36"/>
  <c r="W174" i="38" s="1" a="1"/>
  <c r="W174" i="38" s="1"/>
  <c r="W298" i="38" l="1" a="1"/>
  <c r="W298" i="38" s="1"/>
  <c r="W61" i="38" a="1"/>
  <c r="W61" i="38" s="1"/>
  <c r="W329" i="38" a="1"/>
  <c r="W329" i="38" s="1"/>
  <c r="W389" i="38" a="1"/>
  <c r="W389" i="38" s="1"/>
  <c r="P389" i="38" s="1" a="1"/>
  <c r="P389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72" i="38" a="1"/>
  <c r="W72" i="38" s="1"/>
  <c r="W3" i="38" l="1" a="1"/>
  <c r="W3" i="38" s="1"/>
  <c r="S22" i="36" l="1" a="1"/>
  <c r="S22" i="36" s="1"/>
  <c r="O22" i="36" a="1"/>
  <c r="O22" i="36" s="1"/>
  <c r="K361" i="38"/>
  <c r="H61" i="38"/>
  <c r="L361" i="38" l="1"/>
  <c r="S67" i="38"/>
  <c r="P5" i="38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Q67" i="38" l="1"/>
  <c r="T67" i="38"/>
  <c r="R67" i="38" s="1"/>
  <c r="W67" i="38" a="1"/>
  <c r="W67" i="38" s="1"/>
  <c r="BA3" i="10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20" i="36" l="1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M11" i="32" l="1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22" i="36" l="1"/>
  <c r="I22" i="36"/>
  <c r="I109" i="36"/>
  <c r="I110" i="36"/>
  <c r="I111" i="36"/>
  <c r="I112" i="36"/>
  <c r="I113" i="36"/>
  <c r="I114" i="36"/>
  <c r="H109" i="36"/>
  <c r="H110" i="36"/>
  <c r="H111" i="36"/>
  <c r="H112" i="36"/>
  <c r="H113" i="36"/>
  <c r="H114" i="36"/>
  <c r="H115" i="36"/>
  <c r="H1087" i="36"/>
  <c r="H1088" i="36"/>
  <c r="H1089" i="36"/>
  <c r="H1092" i="36"/>
  <c r="H1090" i="36"/>
  <c r="I1088" i="36"/>
  <c r="I1087" i="36"/>
  <c r="H1091" i="36"/>
  <c r="H1093" i="36"/>
  <c r="I1090" i="36"/>
  <c r="I1091" i="36"/>
  <c r="I1092" i="36"/>
  <c r="I1093" i="36"/>
  <c r="I1089" i="36"/>
  <c r="K22" i="36"/>
  <c r="J22" i="36"/>
  <c r="W117" i="38" s="1" a="1"/>
  <c r="W117" i="38" s="1"/>
  <c r="K111" i="36"/>
  <c r="K112" i="36"/>
  <c r="K113" i="36"/>
  <c r="K114" i="36"/>
  <c r="J109" i="36"/>
  <c r="J110" i="36"/>
  <c r="J111" i="36"/>
  <c r="J112" i="36"/>
  <c r="J113" i="36"/>
  <c r="J114" i="36"/>
  <c r="K109" i="36"/>
  <c r="K110" i="36"/>
  <c r="J1087" i="36"/>
  <c r="J1088" i="36"/>
  <c r="J1089" i="36"/>
  <c r="J1090" i="36"/>
  <c r="K1087" i="36"/>
  <c r="J1091" i="36"/>
  <c r="K1088" i="36"/>
  <c r="J1092" i="36"/>
  <c r="K1089" i="36"/>
  <c r="J1093" i="36"/>
  <c r="K1090" i="36"/>
  <c r="K1091" i="36"/>
  <c r="K1092" i="36"/>
  <c r="K1093" i="36"/>
  <c r="H16" i="32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W456" i="38" s="1" a="1"/>
  <c r="W456" i="38" s="1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W457" i="38" s="1" a="1"/>
  <c r="W457" i="38" s="1"/>
  <c r="H74" i="36"/>
  <c r="I74" i="36"/>
  <c r="I100" i="36"/>
  <c r="H92" i="36"/>
  <c r="W451" i="38" s="1" a="1"/>
  <c r="W451" i="38" s="1"/>
  <c r="H75" i="36"/>
  <c r="I75" i="36"/>
  <c r="I92" i="36"/>
  <c r="H108" i="36"/>
  <c r="H76" i="36"/>
  <c r="I76" i="36"/>
  <c r="I108" i="36"/>
  <c r="H1046" i="36"/>
  <c r="H77" i="36"/>
  <c r="I77" i="36"/>
  <c r="H93" i="36"/>
  <c r="W452" i="38" s="1" a="1"/>
  <c r="W452" i="38" s="1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W453" i="38" s="1" a="1"/>
  <c r="W453" i="38" s="1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W454" i="38" s="1" a="1"/>
  <c r="W454" i="38" s="1"/>
  <c r="I97" i="36"/>
  <c r="H86" i="36"/>
  <c r="I86" i="36"/>
  <c r="H103" i="36"/>
  <c r="I103" i="36"/>
  <c r="H87" i="36"/>
  <c r="I87" i="36"/>
  <c r="H98" i="36"/>
  <c r="W455" i="38" s="1" a="1"/>
  <c r="W455" i="38" s="1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W212" i="38" s="1" a="1"/>
  <c r="W212" i="38" s="1"/>
  <c r="K78" i="36"/>
  <c r="J79" i="36"/>
  <c r="W213" i="38" s="1" a="1"/>
  <c r="W213" i="38" s="1"/>
  <c r="K79" i="36"/>
  <c r="J80" i="36"/>
  <c r="W214" i="38" s="1" a="1"/>
  <c r="W214" i="38" s="1"/>
  <c r="K80" i="36"/>
  <c r="J81" i="36"/>
  <c r="W215" i="38" s="1" a="1"/>
  <c r="W215" i="38" s="1"/>
  <c r="K81" i="36"/>
  <c r="J82" i="36"/>
  <c r="W216" i="38" s="1" a="1"/>
  <c r="W216" i="38" s="1"/>
  <c r="K82" i="36"/>
  <c r="J83" i="36"/>
  <c r="W217" i="38" s="1" a="1"/>
  <c r="W217" i="38" s="1"/>
  <c r="K83" i="36"/>
  <c r="J84" i="36"/>
  <c r="W220" i="38" s="1" a="1"/>
  <c r="W220" i="38" s="1"/>
  <c r="K84" i="36"/>
  <c r="J85" i="36"/>
  <c r="W218" i="38" s="1" a="1"/>
  <c r="W218" i="38" s="1"/>
  <c r="K85" i="36"/>
  <c r="J86" i="36"/>
  <c r="W219" i="38" s="1" a="1"/>
  <c r="W219" i="38" s="1"/>
  <c r="K86" i="36"/>
  <c r="J87" i="36"/>
  <c r="W221" i="38" s="1" a="1"/>
  <c r="W221" i="38" s="1"/>
  <c r="K87" i="36"/>
  <c r="J88" i="36"/>
  <c r="K88" i="36"/>
  <c r="J1050" i="36"/>
  <c r="J89" i="36"/>
  <c r="K89" i="36"/>
  <c r="J90" i="36"/>
  <c r="W273" i="38" s="1" a="1"/>
  <c r="W273" i="38" s="1"/>
  <c r="K90" i="36"/>
  <c r="J91" i="36"/>
  <c r="W361" i="38" s="1" a="1"/>
  <c r="W361" i="38" s="1"/>
  <c r="P361" i="38" s="1" a="1"/>
  <c r="P361" i="38" s="1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W62" i="38" a="1"/>
  <c r="W62" i="38" s="1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H14" i="32"/>
  <c r="H23" i="32"/>
  <c r="H21" i="32"/>
  <c r="H20" i="32"/>
  <c r="B13" i="35"/>
  <c r="C54" i="35"/>
  <c r="C34" i="35" s="1"/>
  <c r="C53" i="35"/>
  <c r="C32" i="35" s="1"/>
  <c r="C52" i="35"/>
  <c r="C35" i="35" s="1"/>
  <c r="C51" i="35"/>
  <c r="C33" i="35" s="1"/>
  <c r="C50" i="35"/>
  <c r="C46" i="35" s="1"/>
  <c r="B27" i="35" s="1"/>
  <c r="C27" i="35" s="1"/>
  <c r="C49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49" i="35"/>
  <c r="B60" i="35"/>
  <c r="B53" i="35"/>
  <c r="B51" i="35"/>
  <c r="B58" i="35"/>
  <c r="B57" i="35"/>
  <c r="B59" i="35"/>
  <c r="B50" i="35"/>
  <c r="B54" i="35"/>
  <c r="B47" i="35"/>
  <c r="B52" i="35"/>
  <c r="B48" i="35"/>
  <c r="B56" i="35"/>
  <c r="B46" i="35"/>
  <c r="B55" i="35"/>
  <c r="W91" i="38" l="1" a="1"/>
  <c r="W91" i="38" s="1"/>
  <c r="W92" i="38" a="1"/>
  <c r="W92" i="38" s="1"/>
  <c r="W93" i="38" a="1"/>
  <c r="W93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94" i="38" a="1"/>
  <c r="W94" i="38" s="1"/>
  <c r="W95" i="38" a="1"/>
  <c r="W95" i="38" s="1"/>
  <c r="W96" i="38" a="1"/>
  <c r="W96" i="38" s="1"/>
  <c r="W103" i="38" a="1"/>
  <c r="W103" i="38" s="1"/>
  <c r="W104" i="38" a="1"/>
  <c r="W104" i="38" s="1"/>
  <c r="W105" i="38" a="1"/>
  <c r="W105" i="38" s="1"/>
  <c r="W106" i="38" a="1"/>
  <c r="W106" i="38" s="1"/>
  <c r="W107" i="38" a="1"/>
  <c r="W107" i="38" s="1"/>
  <c r="W108" i="38" a="1"/>
  <c r="W108" i="38" s="1"/>
  <c r="G21" i="32"/>
  <c r="J21" i="32" s="1"/>
  <c r="W63" i="38" a="1"/>
  <c r="W63" i="38" s="1"/>
  <c r="W64" i="38" a="1"/>
  <c r="W64" i="38" s="1"/>
  <c r="W271" i="38" a="1"/>
  <c r="W271" i="38" s="1"/>
  <c r="W272" i="38" a="1"/>
  <c r="W272" i="38" s="1"/>
  <c r="W337" i="38" a="1"/>
  <c r="W337" i="38" s="1"/>
  <c r="W397" i="38" a="1"/>
  <c r="W397" i="38" s="1"/>
  <c r="W161" i="38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C47" i="35"/>
  <c r="B28" i="35" s="1"/>
  <c r="C28" i="35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80" i="38" a="1"/>
  <c r="V80" i="38" s="1"/>
  <c r="V81" i="38" a="1"/>
  <c r="V81" i="38" s="1"/>
  <c r="I23" i="32"/>
  <c r="I13" i="32"/>
  <c r="G14" i="32"/>
  <c r="G22" i="32"/>
  <c r="G15" i="32"/>
  <c r="K15" i="32" s="1"/>
  <c r="K21" i="32"/>
  <c r="K23" i="32"/>
  <c r="K13" i="32"/>
  <c r="L13" i="32" s="1"/>
  <c r="K19" i="32"/>
  <c r="C56" i="35"/>
  <c r="B31" i="35"/>
  <c r="C31" i="35" s="1"/>
  <c r="C59" i="35"/>
  <c r="Q2294" i="10"/>
  <c r="F23" i="34"/>
  <c r="H13" i="34"/>
  <c r="B44" i="34"/>
  <c r="AM5" i="33"/>
  <c r="AM4" i="33"/>
  <c r="K22" i="32" l="1"/>
  <c r="J22" i="32"/>
  <c r="J16" i="32"/>
  <c r="K16" i="32"/>
  <c r="J20" i="32"/>
  <c r="K20" i="32"/>
  <c r="B39" i="34"/>
  <c r="F14" i="34"/>
  <c r="B32" i="34"/>
  <c r="J18" i="32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B25" i="35"/>
  <c r="B46" i="34"/>
  <c r="G14" i="34"/>
  <c r="H14" i="34" s="1"/>
  <c r="G17" i="34"/>
  <c r="B28" i="33"/>
  <c r="B27" i="33"/>
  <c r="B39" i="33"/>
  <c r="G17" i="33" s="1"/>
  <c r="AN4" i="33"/>
  <c r="B38" i="33" s="1"/>
  <c r="G13" i="33" s="1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K25" i="32" l="1"/>
  <c r="B35" i="34"/>
  <c r="B37" i="34" s="1"/>
  <c r="B38" i="34" s="1"/>
  <c r="B34" i="34"/>
  <c r="F5" i="34"/>
  <c r="F16" i="34"/>
  <c r="B40" i="34"/>
  <c r="I21" i="33"/>
  <c r="G5" i="34"/>
  <c r="G6" i="34"/>
  <c r="H17" i="34"/>
  <c r="F25" i="34"/>
  <c r="B29" i="33"/>
  <c r="B30" i="33" s="1"/>
  <c r="B32" i="33" s="1"/>
  <c r="B35" i="33" a="1"/>
  <c r="B35" i="33" s="1"/>
  <c r="B34" i="33" a="1"/>
  <c r="B34" i="33" s="1"/>
  <c r="B41" i="34" l="1"/>
  <c r="B42" i="34" s="1"/>
  <c r="F15" i="34"/>
  <c r="F6" i="34"/>
  <c r="B33" i="33"/>
  <c r="G16" i="34" l="1"/>
  <c r="H16" i="34" s="1"/>
  <c r="B47" i="34"/>
  <c r="H5" i="34" s="1"/>
  <c r="I5" i="34" s="1"/>
  <c r="B48" i="34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36" i="40" s="1"/>
  <c r="B6" i="1" a="1"/>
  <c r="B6" i="1" s="1"/>
  <c r="N631" i="38" s="1"/>
  <c r="C36" i="40" l="1"/>
  <c r="B37" i="40"/>
  <c r="C37" i="40" s="1"/>
  <c r="B38" i="40"/>
  <c r="B39" i="40"/>
  <c r="E36" i="40"/>
  <c r="B40" i="40"/>
  <c r="E571" i="38" a="1"/>
  <c r="E571" i="38" s="1"/>
  <c r="F572" i="38" a="1"/>
  <c r="F572" i="38" s="1"/>
  <c r="D2" i="19" s="1" a="1"/>
  <c r="D2" i="19" s="1"/>
  <c r="B42" i="19" a="1"/>
  <c r="V93" i="38"/>
  <c r="P93" i="38" s="1" a="1"/>
  <c r="P93" i="38" s="1"/>
  <c r="V94" i="38"/>
  <c r="P94" i="38" s="1" a="1"/>
  <c r="P94" i="38" s="1"/>
  <c r="V212" i="38" a="1"/>
  <c r="V212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61" i="38"/>
  <c r="V91" i="38"/>
  <c r="P91" i="38" s="1" a="1"/>
  <c r="P91" i="38" s="1"/>
  <c r="V106" i="38"/>
  <c r="P106" i="38" s="1" a="1"/>
  <c r="P106" i="38" s="1"/>
  <c r="V105" i="38"/>
  <c r="P105" i="38" s="1" a="1"/>
  <c r="P105" i="38" s="1"/>
  <c r="V108" i="38"/>
  <c r="P108" i="38" s="1" a="1"/>
  <c r="P108" i="38" s="1"/>
  <c r="V102" i="38"/>
  <c r="P102" i="38" s="1" a="1"/>
  <c r="P102" i="38" s="1"/>
  <c r="V99" i="38"/>
  <c r="P99" i="38" s="1" a="1"/>
  <c r="P99" i="38" s="1"/>
  <c r="V96" i="38"/>
  <c r="P96" i="38" s="1" a="1"/>
  <c r="P96" i="38" s="1"/>
  <c r="V426" i="38"/>
  <c r="P426" i="38" s="1" a="1"/>
  <c r="P426" i="38" s="1"/>
  <c r="V456" i="38"/>
  <c r="P456" i="38" s="1" a="1"/>
  <c r="P456" i="38" s="1"/>
  <c r="V428" i="38"/>
  <c r="P428" i="38" s="1" a="1"/>
  <c r="P428" i="38" s="1"/>
  <c r="V422" i="38"/>
  <c r="P422" i="38" s="1" a="1"/>
  <c r="P422" i="38" s="1"/>
  <c r="V453" i="38"/>
  <c r="P453" i="38" s="1" a="1"/>
  <c r="P453" i="38" s="1"/>
  <c r="V423" i="38"/>
  <c r="P423" i="38" s="1" a="1"/>
  <c r="P423" i="38" s="1"/>
  <c r="V421" i="38"/>
  <c r="P421" i="38" s="1" a="1"/>
  <c r="P421" i="38" s="1"/>
  <c r="V448" i="38"/>
  <c r="P448" i="38" s="1" a="1"/>
  <c r="P448" i="38" s="1"/>
  <c r="V478" i="38"/>
  <c r="V64" i="38"/>
  <c r="P64" i="38" s="1" a="1"/>
  <c r="P64" i="38" s="1"/>
  <c r="F53" i="25"/>
  <c r="F7" i="25"/>
  <c r="F8" i="25"/>
  <c r="F52" i="25"/>
  <c r="V295" i="38"/>
  <c r="P295" i="38" s="1" a="1"/>
  <c r="P295" i="38" s="1"/>
  <c r="V451" i="38"/>
  <c r="P451" i="38" s="1" a="1"/>
  <c r="P451" i="38" s="1"/>
  <c r="V452" i="38"/>
  <c r="P452" i="38" s="1" a="1"/>
  <c r="P452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6" i="38"/>
  <c r="V9" i="38"/>
  <c r="P9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58" i="10"/>
  <c r="Q2054" i="10"/>
  <c r="Q2051" i="10"/>
  <c r="Q2048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65" i="38" l="1"/>
  <c r="V646" i="38"/>
  <c r="V227" i="38"/>
  <c r="V527" i="38"/>
  <c r="V197" i="38"/>
  <c r="V497" i="38"/>
  <c r="V167" i="38"/>
  <c r="V435" i="38"/>
  <c r="V112" i="38"/>
  <c r="V405" i="38"/>
  <c r="V77" i="38"/>
  <c r="V347" i="38"/>
  <c r="V287" i="38"/>
  <c r="V257" i="38"/>
  <c r="B15" i="1" a="1"/>
  <c r="B15" i="1" s="1"/>
  <c r="D40" i="40"/>
  <c r="C40" i="40"/>
  <c r="C39" i="40"/>
  <c r="E39" i="40"/>
  <c r="C38" i="40"/>
  <c r="E38" i="40"/>
  <c r="B42" i="19"/>
  <c r="V447" i="38"/>
  <c r="P447" i="38" s="1" a="1"/>
  <c r="P447" i="38" s="1"/>
  <c r="P437" i="38" a="1"/>
  <c r="P437" i="38" s="1"/>
  <c r="V477" i="38"/>
  <c r="P477" i="38" s="1" a="1"/>
  <c r="P477" i="38" s="1"/>
  <c r="V357" i="38"/>
  <c r="P357" i="38" s="1" a="1"/>
  <c r="P357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68" i="38"/>
  <c r="P268" i="38" s="1" a="1"/>
  <c r="P268" i="38" s="1"/>
  <c r="V208" i="38"/>
  <c r="P208" i="38" s="1" a="1"/>
  <c r="P208" i="38" s="1"/>
  <c r="V238" i="38"/>
  <c r="P238" i="38" s="1" a="1"/>
  <c r="P238" i="38" s="1"/>
  <c r="V178" i="38"/>
  <c r="P178" i="38" s="1" a="1"/>
  <c r="P178" i="38" s="1"/>
  <c r="P212" i="38" a="1"/>
  <c r="P212" i="38" s="1"/>
  <c r="P217" i="38" a="1"/>
  <c r="P217" i="38" s="1"/>
  <c r="P216" i="38" a="1"/>
  <c r="P216" i="38" s="1"/>
  <c r="P215" i="38" a="1"/>
  <c r="P215" i="38" s="1"/>
  <c r="P61" i="38" a="1"/>
  <c r="P61" i="38" s="1"/>
  <c r="V87" i="38"/>
  <c r="P87" i="38" s="1" a="1"/>
  <c r="P87" i="38" s="1"/>
  <c r="V507" i="38"/>
  <c r="P507" i="38" s="1" a="1"/>
  <c r="P507" i="38" s="1"/>
  <c r="V537" i="38"/>
  <c r="P537" i="38" s="1" a="1"/>
  <c r="P537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B13" i="1" l="1"/>
  <c r="T541" i="38" a="1"/>
  <c r="T556" i="38" a="1"/>
  <c r="B32" i="1" a="1"/>
  <c r="B32" i="1" s="1"/>
  <c r="B17" i="1" a="1"/>
  <c r="B17" i="1" s="1"/>
  <c r="P478" i="38" a="1"/>
  <c r="P478" i="38" s="1"/>
  <c r="P303" i="38" a="1"/>
  <c r="P303" i="38" s="1"/>
  <c r="P330" i="38" a="1"/>
  <c r="P330" i="38" s="1"/>
  <c r="P301" i="38" a="1"/>
  <c r="P301" i="38" s="1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V23" i="38" l="1"/>
  <c r="V27" i="38"/>
  <c r="V29" i="38"/>
  <c r="V30" i="38"/>
  <c r="V31" i="38"/>
  <c r="V20" i="38"/>
  <c r="V21" i="38"/>
  <c r="V17" i="38"/>
  <c r="V26" i="38"/>
  <c r="V24" i="38"/>
  <c r="V32" i="38"/>
  <c r="V22" i="38"/>
  <c r="V18" i="38"/>
  <c r="V33" i="38"/>
  <c r="V25" i="38"/>
  <c r="V19" i="38"/>
  <c r="V28" i="38"/>
  <c r="P548" i="38" a="1"/>
  <c r="P548" i="38" s="1"/>
  <c r="P549" i="38" a="1"/>
  <c r="P549" i="38" s="1"/>
  <c r="P546" i="38" a="1"/>
  <c r="P546" i="38" s="1"/>
  <c r="P547" i="38" a="1"/>
  <c r="P547" i="38" s="1"/>
  <c r="P544" i="38" a="1"/>
  <c r="P544" i="38" s="1"/>
  <c r="P545" i="38" a="1"/>
  <c r="P545" i="38" s="1"/>
  <c r="P542" i="38" a="1"/>
  <c r="P542" i="38" s="1"/>
  <c r="P543" i="38" a="1"/>
  <c r="P543" i="38" s="1"/>
  <c r="T556" i="38"/>
  <c r="P556" i="38" s="1" a="1"/>
  <c r="P556" i="38" s="1"/>
  <c r="T541" i="38"/>
  <c r="P541" i="38" s="1" a="1"/>
  <c r="P541" i="38" s="1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R556" i="38" l="1" a="1"/>
  <c r="R556" i="38" s="1"/>
  <c r="R541" i="38" a="1"/>
  <c r="R541" i="38" s="1"/>
  <c r="Q1224" i="10"/>
  <c r="Q1226" i="10"/>
  <c r="AY251" i="10"/>
  <c r="BB251" i="10" s="1"/>
  <c r="Q1291" i="10"/>
  <c r="Q1261" i="10"/>
  <c r="P1225" i="10"/>
  <c r="O1217" i="10"/>
  <c r="P14" i="1"/>
  <c r="O1221" i="10" l="1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l="1"/>
  <c r="N25" i="1" s="1"/>
  <c r="AY283" i="10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2311" i="10" l="1"/>
  <c r="Q1550" i="10" a="1"/>
  <c r="Q1550" i="10" s="1"/>
  <c r="Q1581" i="10"/>
  <c r="Q1598" i="10"/>
  <c r="Q1176" i="10"/>
  <c r="Q1193" i="10"/>
  <c r="Q1110" i="10"/>
  <c r="Q1093" i="10"/>
  <c r="Q1076" i="10"/>
  <c r="Q1118" i="10"/>
  <c r="Q1101" i="10"/>
  <c r="Q1084" i="10"/>
  <c r="Q1599" i="10"/>
  <c r="Q1582" i="10"/>
  <c r="Q1177" i="10"/>
  <c r="Q1194" i="10"/>
  <c r="Q1111" i="10"/>
  <c r="Q1077" i="10"/>
  <c r="Q1094" i="10"/>
  <c r="Q891" i="10"/>
  <c r="Q889" i="10"/>
  <c r="Q890" i="10"/>
  <c r="Q1205" i="10"/>
  <c r="AY286" i="10"/>
  <c r="BB285" i="10"/>
  <c r="Q1576" i="10"/>
  <c r="Q1593" i="10"/>
  <c r="Q1184" i="10"/>
  <c r="Q1242" i="10"/>
  <c r="Q1217" i="10"/>
  <c r="Q1188" i="10"/>
  <c r="Q1105" i="10"/>
  <c r="Q1171" i="10"/>
  <c r="Q1071" i="10"/>
  <c r="Q1088" i="10"/>
  <c r="Q1202" i="10"/>
  <c r="Q1186" i="10"/>
  <c r="Q1102" i="10"/>
  <c r="Q1591" i="10"/>
  <c r="Q1608" i="10"/>
  <c r="Q1607" i="10"/>
  <c r="Q1120" i="10"/>
  <c r="Q1590" i="10"/>
  <c r="Q1203" i="10"/>
  <c r="Q1103" i="10"/>
  <c r="Q1185" i="10"/>
  <c r="Q1119" i="10"/>
  <c r="Q1218" i="10"/>
  <c r="Q1243" i="10"/>
  <c r="Q1085" i="10"/>
  <c r="Q1086" i="10"/>
  <c r="BA21" i="10" a="1"/>
  <c r="BA21" i="10" s="1"/>
  <c r="BB21" i="10" s="1" a="1"/>
  <c r="BB21" i="10" s="1"/>
  <c r="O646" i="10"/>
  <c r="Q646" i="10" s="1"/>
  <c r="O66" i="10"/>
  <c r="Q66" i="10" s="1"/>
  <c r="O549" i="10"/>
  <c r="Q549" i="10" s="1"/>
  <c r="O597" i="10"/>
  <c r="Q597" i="10" s="1"/>
  <c r="O56" i="10"/>
  <c r="Q56" i="10" s="1"/>
  <c r="O749" i="10"/>
  <c r="Q749" i="10" s="1"/>
  <c r="O180" i="10"/>
  <c r="Q180" i="10" s="1"/>
  <c r="O797" i="10" l="1"/>
  <c r="Q797" i="10" s="1"/>
  <c r="O1551" i="10"/>
  <c r="Q1551" i="10" s="1"/>
  <c r="O748" i="10"/>
  <c r="Q748" i="10" s="1"/>
  <c r="O205" i="10"/>
  <c r="Q205" i="10" s="1"/>
  <c r="O65" i="10"/>
  <c r="O111" i="10"/>
  <c r="Q111" i="10" s="1"/>
  <c r="O2205" i="10"/>
  <c r="Q2205" i="10" s="1"/>
  <c r="O2223" i="10"/>
  <c r="Q2223" i="10" s="1"/>
  <c r="O2225" i="10"/>
  <c r="Q2225" i="10" s="1"/>
  <c r="O2206" i="10"/>
  <c r="Q2206" i="10" s="1"/>
  <c r="O408" i="10"/>
  <c r="Q408" i="10" s="1"/>
  <c r="O261" i="10"/>
  <c r="Q261" i="10" s="1"/>
  <c r="O251" i="10"/>
  <c r="Q251" i="10" s="1"/>
  <c r="O397" i="10"/>
  <c r="Q397" i="10" s="1"/>
  <c r="O129" i="10"/>
  <c r="Q129" i="10" s="1"/>
  <c r="O55" i="10"/>
  <c r="Q55" i="10" s="1"/>
  <c r="O407" i="10"/>
  <c r="Q407" i="10" s="1"/>
  <c r="O694" i="10"/>
  <c r="Q694" i="10" s="1"/>
  <c r="O220" i="10"/>
  <c r="Q220" i="10" s="1"/>
  <c r="O358" i="10"/>
  <c r="Q358" i="10" s="1"/>
  <c r="O1688" i="10"/>
  <c r="Q1688" i="10" s="1"/>
  <c r="O178" i="10"/>
  <c r="Q178" i="10" s="1"/>
  <c r="O160" i="10"/>
  <c r="Q160" i="10" s="1"/>
  <c r="O249" i="10"/>
  <c r="Q249" i="10" s="1"/>
  <c r="O596" i="10"/>
  <c r="Q596" i="10" s="1"/>
  <c r="O645" i="10"/>
  <c r="Q645" i="10" s="1"/>
  <c r="O548" i="10"/>
  <c r="Q548" i="10" s="1"/>
  <c r="O348" i="10"/>
  <c r="Q348" i="10" s="1"/>
  <c r="O259" i="10"/>
  <c r="Q259" i="10" s="1"/>
  <c r="O398" i="10"/>
  <c r="Q398" i="10" s="1"/>
  <c r="O130" i="10"/>
  <c r="Q130" i="10" s="1"/>
  <c r="O359" i="10"/>
  <c r="Q359" i="10" s="1"/>
  <c r="O349" i="10"/>
  <c r="Q349" i="10" s="1"/>
  <c r="O161" i="10"/>
  <c r="Q161" i="10" s="1"/>
  <c r="O112" i="10"/>
  <c r="Q112" i="10" s="1"/>
  <c r="O695" i="10"/>
  <c r="Q695" i="10" s="1"/>
  <c r="O1642" i="10"/>
  <c r="Q1642" i="10" s="1"/>
  <c r="O1689" i="10"/>
  <c r="Q1689" i="10" s="1"/>
  <c r="AY287" i="10"/>
  <c r="BB286" i="10"/>
  <c r="BA26" i="10" a="1"/>
  <c r="BA26" i="10" s="1"/>
  <c r="BB26" i="10" s="1" a="1"/>
  <c r="BB26" i="10" s="1"/>
  <c r="Q65" i="10" l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BB438" i="10" l="1"/>
  <c r="AY439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AY472" i="10" l="1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Q2309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438" i="10"/>
  <c r="O509" i="10"/>
  <c r="O619" i="10"/>
  <c r="O2233" i="10"/>
  <c r="O998" i="10"/>
  <c r="O1004" i="10"/>
  <c r="O502" i="10"/>
  <c r="O188" i="10"/>
  <c r="O1749" i="10"/>
  <c r="O389" i="10"/>
  <c r="O515" i="10"/>
  <c r="O1151" i="10"/>
  <c r="Q1151" i="10" s="1" a="1"/>
  <c r="Q1151" i="10" s="1"/>
  <c r="O2040" i="10"/>
  <c r="O668" i="10"/>
  <c r="O1069" i="10"/>
  <c r="O78" i="10"/>
  <c r="O2272" i="10"/>
  <c r="Q2272" i="10" s="1" a="1"/>
  <c r="Q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696" i="10" l="1"/>
  <c r="Q696" i="10" s="1"/>
  <c r="B41" i="19" l="1" a="1"/>
  <c r="B41" i="19" s="1"/>
  <c r="V104" i="38" l="1"/>
  <c r="P104" i="38" s="1" a="1"/>
  <c r="P104" i="38" s="1"/>
  <c r="V98" i="38"/>
  <c r="P98" i="38" s="1" a="1"/>
  <c r="P98" i="38" s="1"/>
  <c r="V101" i="38"/>
  <c r="P101" i="38" s="1" a="1"/>
  <c r="P101" i="38" s="1"/>
  <c r="V92" i="38"/>
  <c r="V95" i="38"/>
  <c r="P95" i="38" s="1" a="1"/>
  <c r="P95" i="38" s="1"/>
  <c r="V107" i="38"/>
  <c r="P107" i="38" s="1" a="1"/>
  <c r="P107" i="38" s="1"/>
  <c r="Q2041" i="10"/>
  <c r="Q2038" i="10"/>
  <c r="Q2039" i="10"/>
  <c r="Q494" i="10"/>
  <c r="Q494" i="1"/>
  <c r="Q497" i="10"/>
  <c r="Q497" i="1"/>
  <c r="D36" i="40" l="1"/>
  <c r="F36" i="40" s="1"/>
  <c r="D37" i="40"/>
  <c r="D38" i="40"/>
  <c r="L2" i="1"/>
  <c r="V83" i="38" a="1"/>
  <c r="V83" i="38" s="1"/>
  <c r="P83" i="38" s="1" a="1"/>
  <c r="P83" i="38" s="1"/>
  <c r="V397" i="38"/>
  <c r="P397" i="38" s="1" a="1"/>
  <c r="P397" i="38" s="1"/>
  <c r="V533" i="38" a="1"/>
  <c r="V533" i="38" s="1"/>
  <c r="P533" i="38" s="1" a="1"/>
  <c r="P533" i="38" s="1"/>
  <c r="V503" i="38" a="1"/>
  <c r="V503" i="38" s="1"/>
  <c r="P503" i="38" s="1" a="1"/>
  <c r="P503" i="38" s="1"/>
  <c r="V337" i="38"/>
  <c r="P337" i="38" s="1" a="1"/>
  <c r="P337" i="38" s="1"/>
  <c r="Q1021" i="10"/>
  <c r="U1021" i="10" s="1"/>
  <c r="V392" i="38"/>
  <c r="V332" i="38"/>
  <c r="P332" i="38" s="1" a="1"/>
  <c r="P332" i="38" s="1"/>
  <c r="Q1007" i="10"/>
  <c r="U1007" i="10" s="1"/>
  <c r="Q1001" i="10"/>
  <c r="U1001" i="10" s="1"/>
  <c r="V242" i="38" a="1"/>
  <c r="V242" i="38" s="1"/>
  <c r="P242" i="38" s="1" a="1"/>
  <c r="P242" i="38" s="1"/>
  <c r="V186" i="38" a="1"/>
  <c r="V186" i="38" s="1"/>
  <c r="P186" i="38" s="1" a="1"/>
  <c r="P186" i="38" s="1"/>
  <c r="V156" i="38" a="1"/>
  <c r="V156" i="38" s="1"/>
  <c r="P156" i="38" s="1" a="1"/>
  <c r="P156" i="38" s="1"/>
  <c r="V248" i="38" a="1"/>
  <c r="V248" i="38" s="1"/>
  <c r="P248" i="38" s="1" a="1"/>
  <c r="P248" i="38" s="1"/>
  <c r="V183" i="38" a="1"/>
  <c r="V183" i="38" s="1"/>
  <c r="P183" i="38" s="1" a="1"/>
  <c r="P183" i="38" s="1"/>
  <c r="V157" i="38" a="1"/>
  <c r="V157" i="38" s="1"/>
  <c r="P157" i="38" s="1" a="1"/>
  <c r="P157" i="38" s="1"/>
  <c r="V249" i="38" a="1"/>
  <c r="V249" i="38" s="1"/>
  <c r="P249" i="38" s="1" a="1"/>
  <c r="P249" i="38" s="1"/>
  <c r="V191" i="38" a="1"/>
  <c r="V191" i="38" s="1"/>
  <c r="P191" i="38" s="1" a="1"/>
  <c r="P191" i="38" s="1"/>
  <c r="V158" i="38" a="1"/>
  <c r="V158" i="38" s="1"/>
  <c r="P158" i="38" s="1" a="1"/>
  <c r="P158" i="38" s="1"/>
  <c r="V244" i="38" a="1"/>
  <c r="V244" i="38" s="1"/>
  <c r="P244" i="38" s="1" a="1"/>
  <c r="P244" i="38" s="1"/>
  <c r="V176" i="38"/>
  <c r="P176" i="38" s="1" a="1"/>
  <c r="P176" i="38" s="1"/>
  <c r="V250" i="38" a="1"/>
  <c r="V250" i="38" s="1"/>
  <c r="P250" i="38" s="1" a="1"/>
  <c r="P250" i="38" s="1"/>
  <c r="V175" i="38"/>
  <c r="P175" i="38" s="1" a="1"/>
  <c r="P175" i="38" s="1"/>
  <c r="V245" i="38" a="1"/>
  <c r="V245" i="38" s="1"/>
  <c r="P245" i="38" s="1" a="1"/>
  <c r="P245" i="38" s="1"/>
  <c r="V160" i="38" a="1"/>
  <c r="V160" i="38" s="1"/>
  <c r="P160" i="38" s="1" a="1"/>
  <c r="P160" i="38" s="1"/>
  <c r="V251" i="38" a="1"/>
  <c r="V251" i="38" s="1"/>
  <c r="P251" i="38" s="1" a="1"/>
  <c r="P251" i="38" s="1"/>
  <c r="V161" i="38" a="1"/>
  <c r="V161" i="38" s="1"/>
  <c r="P161" i="38" s="1" a="1"/>
  <c r="P161" i="38" s="1"/>
  <c r="V159" i="38" a="1"/>
  <c r="V159" i="38" s="1"/>
  <c r="P159" i="38" s="1" a="1"/>
  <c r="P159" i="38" s="1"/>
  <c r="V155" i="38" a="1"/>
  <c r="V155" i="38" s="1"/>
  <c r="P155" i="38" s="1" a="1"/>
  <c r="P155" i="38" s="1"/>
  <c r="V151" i="38" a="1"/>
  <c r="V151" i="38" s="1"/>
  <c r="V154" i="38" a="1"/>
  <c r="V154" i="38" s="1"/>
  <c r="P154" i="38" s="1" a="1"/>
  <c r="P154" i="38" s="1"/>
  <c r="V187" i="38" a="1"/>
  <c r="V187" i="38" s="1"/>
  <c r="P187" i="38" s="1" a="1"/>
  <c r="P187" i="38" s="1"/>
  <c r="V153" i="38" a="1"/>
  <c r="V153" i="38" s="1"/>
  <c r="P153" i="38" s="1" a="1"/>
  <c r="P153" i="38" s="1"/>
  <c r="V117" i="38" a="1"/>
  <c r="V117" i="38" s="1"/>
  <c r="V213" i="38"/>
  <c r="P213" i="38" s="1" a="1"/>
  <c r="P213" i="38" s="1"/>
  <c r="V181" i="38" a="1"/>
  <c r="V181" i="38" s="1"/>
  <c r="P181" i="38" s="1" a="1"/>
  <c r="P181" i="38" s="1"/>
  <c r="V214" i="38"/>
  <c r="P214" i="38" s="1" a="1"/>
  <c r="P214" i="38" s="1"/>
  <c r="V152" i="38" a="1"/>
  <c r="V152" i="38" s="1"/>
  <c r="P152" i="38" s="1" a="1"/>
  <c r="P152" i="38" s="1"/>
  <c r="V220" i="38" a="1"/>
  <c r="V220" i="38" s="1"/>
  <c r="P220" i="38" s="1" a="1"/>
  <c r="P220" i="38" s="1"/>
  <c r="V219" i="38" a="1"/>
  <c r="V219" i="38" s="1"/>
  <c r="P219" i="38" s="1" a="1"/>
  <c r="P219" i="38" s="1"/>
  <c r="V62" i="38" a="1"/>
  <c r="V62" i="38" s="1"/>
  <c r="V221" i="38" a="1"/>
  <c r="V221" i="38" s="1"/>
  <c r="P221" i="38" s="1" a="1"/>
  <c r="P221" i="38" s="1"/>
  <c r="V218" i="38" a="1"/>
  <c r="V218" i="38" s="1"/>
  <c r="P218" i="38" s="1" a="1"/>
  <c r="P218" i="38" s="1"/>
  <c r="V512" i="38" a="1"/>
  <c r="V512" i="38" s="1"/>
  <c r="P512" i="38" s="1" a="1"/>
  <c r="P512" i="38" s="1"/>
  <c r="V182" i="38" a="1"/>
  <c r="V182" i="38" s="1"/>
  <c r="P182" i="38" s="1" a="1"/>
  <c r="P182" i="38" s="1"/>
  <c r="V184" i="38" a="1"/>
  <c r="V184" i="38" s="1"/>
  <c r="P184" i="38" s="1" a="1"/>
  <c r="P184" i="38" s="1"/>
  <c r="V482" i="38" a="1"/>
  <c r="V482" i="38" s="1"/>
  <c r="P482" i="38" s="1" a="1"/>
  <c r="P482" i="38" s="1"/>
  <c r="V189" i="38" a="1"/>
  <c r="V189" i="38" s="1"/>
  <c r="P189" i="38" s="1" a="1"/>
  <c r="P189" i="38" s="1"/>
  <c r="V190" i="38" a="1"/>
  <c r="V190" i="38" s="1"/>
  <c r="P190" i="38" s="1" a="1"/>
  <c r="P190" i="38" s="1"/>
  <c r="V241" i="38" a="1"/>
  <c r="V241" i="38" s="1"/>
  <c r="P241" i="38" s="1" a="1"/>
  <c r="P241" i="38" s="1"/>
  <c r="V243" i="38" a="1"/>
  <c r="V243" i="38" s="1"/>
  <c r="P243" i="38" s="1" a="1"/>
  <c r="P243" i="38" s="1"/>
  <c r="V188" i="38" a="1"/>
  <c r="V188" i="38" s="1"/>
  <c r="P188" i="38" s="1" a="1"/>
  <c r="P188" i="38" s="1"/>
  <c r="V246" i="38" a="1"/>
  <c r="V246" i="38" s="1"/>
  <c r="P246" i="38" s="1" a="1"/>
  <c r="P246" i="38" s="1"/>
  <c r="V185" i="38" a="1"/>
  <c r="V185" i="38" s="1"/>
  <c r="P185" i="38" s="1" a="1"/>
  <c r="P185" i="38" s="1"/>
  <c r="V247" i="38" a="1"/>
  <c r="V247" i="38" s="1"/>
  <c r="P247" i="38" s="1" a="1"/>
  <c r="P247" i="38" s="1"/>
  <c r="P92" i="38" a="1"/>
  <c r="P92" i="38" s="1"/>
  <c r="V119" i="38" a="1"/>
  <c r="V119" i="38" s="1"/>
  <c r="P119" i="38" s="1" a="1"/>
  <c r="P119" i="38" s="1"/>
  <c r="V118" i="38"/>
  <c r="P118" i="38" s="1" a="1"/>
  <c r="P118" i="38" s="1"/>
  <c r="U497" i="10"/>
  <c r="U494" i="10"/>
  <c r="U2039" i="10"/>
  <c r="U2038" i="10"/>
  <c r="U2041" i="10"/>
  <c r="V424" i="38"/>
  <c r="P424" i="38" s="1" a="1"/>
  <c r="P424" i="38" s="1"/>
  <c r="V15" i="38"/>
  <c r="W15" i="38" s="1"/>
  <c r="V266" i="38"/>
  <c r="P266" i="38" s="1" a="1"/>
  <c r="P266" i="38" s="1"/>
  <c r="V483" i="38"/>
  <c r="P483" i="38" s="1" a="1"/>
  <c r="P483" i="38" s="1"/>
  <c r="V63" i="38"/>
  <c r="V265" i="38"/>
  <c r="P265" i="38" s="1" a="1"/>
  <c r="P265" i="38" s="1"/>
  <c r="V505" i="38" a="1"/>
  <c r="V505" i="38" s="1"/>
  <c r="P505" i="38" s="1" a="1"/>
  <c r="P505" i="38" s="1"/>
  <c r="V504" i="38"/>
  <c r="P504" i="38" s="1" a="1"/>
  <c r="P504" i="38" s="1"/>
  <c r="V174" i="38"/>
  <c r="P174" i="38" s="1" a="1"/>
  <c r="P174" i="38" s="1"/>
  <c r="V85" i="38" a="1"/>
  <c r="V85" i="38" s="1"/>
  <c r="P85" i="38" s="1" a="1"/>
  <c r="P85" i="38" s="1"/>
  <c r="V473" i="38"/>
  <c r="P473" i="38" s="1" a="1"/>
  <c r="P473" i="38" s="1"/>
  <c r="V535" i="38" a="1"/>
  <c r="V535" i="38" s="1"/>
  <c r="P535" i="38" s="1" a="1"/>
  <c r="P535" i="38" s="1"/>
  <c r="V534" i="38"/>
  <c r="P534" i="38" s="1" a="1"/>
  <c r="P534" i="38" s="1"/>
  <c r="V444" i="38"/>
  <c r="P444" i="38" s="1" a="1"/>
  <c r="P444" i="38" s="1"/>
  <c r="V2" i="38" a="1"/>
  <c r="V2" i="38" s="1"/>
  <c r="V427" i="38"/>
  <c r="P427" i="38" s="1" a="1"/>
  <c r="P427" i="38" s="1"/>
  <c r="V446" i="38"/>
  <c r="P446" i="38" s="1" a="1"/>
  <c r="P446" i="38" s="1"/>
  <c r="V443" i="38"/>
  <c r="P443" i="38" s="1" a="1"/>
  <c r="P443" i="38" s="1"/>
  <c r="V393" i="38"/>
  <c r="V425" i="38"/>
  <c r="P425" i="38" s="1" a="1"/>
  <c r="P425" i="38" s="1"/>
  <c r="V445" i="38"/>
  <c r="P445" i="38" s="1" a="1"/>
  <c r="P445" i="38" s="1"/>
  <c r="V297" i="38"/>
  <c r="P297" i="38" s="1" a="1"/>
  <c r="P297" i="38" s="1"/>
  <c r="V273" i="38"/>
  <c r="V10" i="38"/>
  <c r="W11" i="38" s="1"/>
  <c r="Q410" i="36" s="1"/>
  <c r="P5" i="36" s="1" a="1"/>
  <c r="P5" i="36" s="1"/>
  <c r="Q5" i="36" s="1"/>
  <c r="V442" i="38"/>
  <c r="P442" i="38" s="1" a="1"/>
  <c r="P442" i="38" s="1"/>
  <c r="V296" i="38"/>
  <c r="P296" i="38" s="1" a="1"/>
  <c r="P296" i="38" s="1"/>
  <c r="V454" i="38"/>
  <c r="P454" i="38" s="1" a="1"/>
  <c r="P454" i="38" s="1"/>
  <c r="V205" i="38"/>
  <c r="P205" i="38" s="1" a="1"/>
  <c r="P205" i="38" s="1"/>
  <c r="V440" i="38"/>
  <c r="P440" i="38" s="1" a="1"/>
  <c r="P440" i="38" s="1"/>
  <c r="V292" i="38"/>
  <c r="P292" i="38" s="1" a="1"/>
  <c r="P292" i="38" s="1"/>
  <c r="V354" i="38"/>
  <c r="P354" i="38" s="1" a="1"/>
  <c r="P354" i="38" s="1"/>
  <c r="V264" i="38"/>
  <c r="P264" i="38" s="1" a="1"/>
  <c r="P264" i="38" s="1"/>
  <c r="V441" i="38"/>
  <c r="P441" i="38" s="1" a="1"/>
  <c r="P441" i="38" s="1"/>
  <c r="V294" i="38"/>
  <c r="P294" i="38" s="1" a="1"/>
  <c r="P294" i="38" s="1"/>
  <c r="V467" i="38"/>
  <c r="P467" i="38" s="1" a="1"/>
  <c r="P467" i="38" s="1"/>
  <c r="V439" i="38"/>
  <c r="P439" i="38" s="1" a="1"/>
  <c r="P439" i="38" s="1"/>
  <c r="V293" i="38"/>
  <c r="P293" i="38" s="1" a="1"/>
  <c r="P293" i="38" s="1"/>
  <c r="V236" i="38"/>
  <c r="P236" i="38" s="1" a="1"/>
  <c r="P236" i="38" s="1"/>
  <c r="V7" i="38"/>
  <c r="V414" i="38"/>
  <c r="P414" i="38" s="1" a="1"/>
  <c r="P414" i="38" s="1"/>
  <c r="V204" i="38"/>
  <c r="P204" i="38" s="1" a="1"/>
  <c r="P204" i="38" s="1"/>
  <c r="V449" i="38"/>
  <c r="P449" i="38" s="1" a="1"/>
  <c r="P449" i="38" s="1"/>
  <c r="V272" i="38"/>
  <c r="P272" i="38" s="1" a="1"/>
  <c r="P272" i="38" s="1"/>
  <c r="V235" i="38"/>
  <c r="P235" i="38" s="1" a="1"/>
  <c r="P235" i="38" s="1"/>
  <c r="V206" i="38"/>
  <c r="P206" i="38" s="1" a="1"/>
  <c r="P206" i="38" s="1"/>
  <c r="V455" i="38"/>
  <c r="P455" i="38" s="1" a="1"/>
  <c r="P455" i="38" s="1"/>
  <c r="V271" i="38"/>
  <c r="V415" i="38"/>
  <c r="P415" i="38" s="1" a="1"/>
  <c r="P415" i="38" s="1"/>
  <c r="V476" i="38"/>
  <c r="P476" i="38" s="1" a="1"/>
  <c r="P476" i="38" s="1"/>
  <c r="V513" i="38"/>
  <c r="P513" i="38" s="1" a="1"/>
  <c r="P513" i="38" s="1"/>
  <c r="V333" i="38"/>
  <c r="P333" i="38" s="1" a="1"/>
  <c r="P333" i="38" s="1"/>
  <c r="V468" i="38"/>
  <c r="P468" i="38" s="1" a="1"/>
  <c r="P468" i="38" s="1"/>
  <c r="V234" i="38"/>
  <c r="P234" i="38" s="1" a="1"/>
  <c r="P234" i="38" s="1"/>
  <c r="V84" i="38"/>
  <c r="P84" i="38" s="1" a="1"/>
  <c r="P84" i="38" s="1"/>
  <c r="V211" i="38"/>
  <c r="P211" i="38" s="1" a="1"/>
  <c r="P211" i="38" s="1"/>
  <c r="V469" i="38"/>
  <c r="P469" i="38" s="1" a="1"/>
  <c r="P469" i="38" s="1"/>
  <c r="V413" i="38"/>
  <c r="P413" i="38" s="1" a="1"/>
  <c r="P413" i="38" s="1"/>
  <c r="V470" i="38"/>
  <c r="P470" i="38" s="1" a="1"/>
  <c r="P470" i="38" s="1"/>
  <c r="V412" i="38"/>
  <c r="P412" i="38" s="1" a="1"/>
  <c r="P412" i="38" s="1"/>
  <c r="V471" i="38"/>
  <c r="P471" i="38" s="1" a="1"/>
  <c r="P471" i="38" s="1"/>
  <c r="V16" i="38"/>
  <c r="W16" i="38" s="1"/>
  <c r="V411" i="38"/>
  <c r="P411" i="38" s="1" a="1"/>
  <c r="P411" i="38" s="1"/>
  <c r="V472" i="38"/>
  <c r="P472" i="38" s="1" a="1"/>
  <c r="P472" i="38" s="1"/>
  <c r="V355" i="38"/>
  <c r="P355" i="38" s="1" a="1"/>
  <c r="P355" i="38" s="1"/>
  <c r="V407" i="38"/>
  <c r="P407" i="38" s="1" a="1"/>
  <c r="P407" i="38" s="1"/>
  <c r="V474" i="38"/>
  <c r="P474" i="38" s="1" a="1"/>
  <c r="P474" i="38" s="1"/>
  <c r="V406" i="38"/>
  <c r="P406" i="38" s="1" a="1"/>
  <c r="P406" i="38" s="1"/>
  <c r="V475" i="38"/>
  <c r="P475" i="38" s="1" a="1"/>
  <c r="P475" i="38" s="1"/>
  <c r="V409" i="38"/>
  <c r="P409" i="38" s="1" a="1"/>
  <c r="P409" i="38" s="1"/>
  <c r="V479" i="38"/>
  <c r="P479" i="38" s="1" a="1"/>
  <c r="P479" i="38" s="1"/>
  <c r="V410" i="38"/>
  <c r="P410" i="38" s="1" a="1"/>
  <c r="P410" i="38" s="1"/>
  <c r="V438" i="38"/>
  <c r="P438" i="38" s="1" a="1"/>
  <c r="P438" i="38" s="1"/>
  <c r="V14" i="38"/>
  <c r="W14" i="38" s="1"/>
  <c r="B6" i="35"/>
  <c r="V457" i="38"/>
  <c r="P457" i="38" s="1" a="1"/>
  <c r="P457" i="38" s="1"/>
  <c r="V429" i="38"/>
  <c r="P429" i="38" s="1" a="1"/>
  <c r="P429" i="38" s="1"/>
  <c r="U51" i="10"/>
  <c r="U2299" i="10"/>
  <c r="U2284" i="10"/>
  <c r="Q2221" i="10"/>
  <c r="U2221" i="10" s="1"/>
  <c r="U1221" i="10"/>
  <c r="U36" i="10"/>
  <c r="U4692" i="10"/>
  <c r="U3313" i="10"/>
  <c r="U350" i="10"/>
  <c r="U4461" i="10"/>
  <c r="U3835" i="10"/>
  <c r="U5248" i="10"/>
  <c r="U1873" i="10"/>
  <c r="U416" i="10"/>
  <c r="U288" i="10"/>
  <c r="Q795" i="10"/>
  <c r="U795" i="10" s="1"/>
  <c r="U499" i="10"/>
  <c r="U333" i="10"/>
  <c r="U4602" i="10"/>
  <c r="U2759" i="10"/>
  <c r="U5550" i="10"/>
  <c r="U978" i="10"/>
  <c r="U1484" i="10"/>
  <c r="U1089" i="10"/>
  <c r="U4577" i="10"/>
  <c r="U5255" i="10"/>
  <c r="U4926" i="10"/>
  <c r="U4681" i="10"/>
  <c r="Q443" i="10"/>
  <c r="U443" i="10" s="1"/>
  <c r="U113" i="10"/>
  <c r="U58" i="10"/>
  <c r="U4615" i="10"/>
  <c r="U2006" i="10"/>
  <c r="U3544" i="10"/>
  <c r="U135" i="10"/>
  <c r="U2686" i="10"/>
  <c r="Q246" i="10"/>
  <c r="U246" i="10" s="1"/>
  <c r="U4873" i="10"/>
  <c r="U3266" i="10"/>
  <c r="U209" i="10"/>
  <c r="U5149" i="10"/>
  <c r="U4855" i="10"/>
  <c r="Q948" i="10"/>
  <c r="U948" i="10" s="1"/>
  <c r="U5125" i="10"/>
  <c r="U522" i="10"/>
  <c r="U3905" i="10"/>
  <c r="U150" i="10"/>
  <c r="U3919" i="10"/>
  <c r="U4936" i="10"/>
  <c r="U4519" i="10"/>
  <c r="U656" i="10"/>
  <c r="U736" i="10"/>
  <c r="U4530" i="10"/>
  <c r="U860" i="10"/>
  <c r="U4511" i="10"/>
  <c r="U972" i="10"/>
  <c r="U4501" i="10"/>
  <c r="U4772" i="10"/>
  <c r="U5016" i="10"/>
  <c r="U3202" i="10"/>
  <c r="U5345" i="10"/>
  <c r="U588" i="10"/>
  <c r="U199" i="10"/>
  <c r="U165" i="10"/>
  <c r="U33" i="10"/>
  <c r="U4373" i="10"/>
  <c r="U5396" i="10"/>
  <c r="U3084" i="10"/>
  <c r="U3609" i="10"/>
  <c r="U3592" i="10"/>
  <c r="U5205" i="10"/>
  <c r="U2897" i="10"/>
  <c r="U2216" i="10"/>
  <c r="U5249" i="10"/>
  <c r="U617" i="10"/>
  <c r="U4755" i="10"/>
  <c r="U28" i="10"/>
  <c r="U5444" i="10"/>
  <c r="U5404" i="10"/>
  <c r="U5178" i="10"/>
  <c r="U5359" i="10"/>
  <c r="U718" i="10"/>
  <c r="U4853" i="10"/>
  <c r="U3588" i="10"/>
  <c r="U5407" i="10"/>
  <c r="U2305" i="10"/>
  <c r="U2289" i="10"/>
  <c r="Q344" i="10"/>
  <c r="U344" i="10" s="1"/>
  <c r="U1222" i="10"/>
  <c r="U4562" i="10"/>
  <c r="Q455" i="10"/>
  <c r="U455" i="10" s="1"/>
  <c r="U5531" i="10"/>
  <c r="U255" i="10"/>
  <c r="U4894" i="10"/>
  <c r="U1850" i="10"/>
  <c r="U320" i="10"/>
  <c r="U801" i="10"/>
  <c r="U442" i="10"/>
  <c r="Q237" i="10"/>
  <c r="U237" i="10" s="1"/>
  <c r="U21" i="10"/>
  <c r="U887" i="10"/>
  <c r="U5459" i="10"/>
  <c r="U4505" i="10"/>
  <c r="U2691" i="10"/>
  <c r="U486" i="10"/>
  <c r="U380" i="10"/>
  <c r="U799" i="10"/>
  <c r="Q680" i="10"/>
  <c r="U680" i="10" s="1"/>
  <c r="U107" i="10"/>
  <c r="U229" i="10"/>
  <c r="U4258" i="10"/>
  <c r="U94" i="10"/>
  <c r="Q677" i="10"/>
  <c r="U677" i="10" s="1"/>
  <c r="U598" i="10"/>
  <c r="O4" i="10"/>
  <c r="U610" i="10"/>
  <c r="U3331" i="10"/>
  <c r="U4758" i="10"/>
  <c r="U5587" i="10"/>
  <c r="U4133" i="10"/>
  <c r="U790" i="10"/>
  <c r="U3408" i="10"/>
  <c r="U4997" i="10"/>
  <c r="U1025" i="10"/>
  <c r="U1471" i="10"/>
  <c r="U1043" i="10"/>
  <c r="Q512" i="10"/>
  <c r="U512" i="10" s="1"/>
  <c r="U2843" i="10"/>
  <c r="U568" i="10"/>
  <c r="U3278" i="10"/>
  <c r="U95" i="10"/>
  <c r="U4392" i="10"/>
  <c r="U1122" i="10"/>
  <c r="U3405" i="10"/>
  <c r="U3842" i="10"/>
  <c r="U4951" i="10"/>
  <c r="U4969" i="10"/>
  <c r="U953" i="10"/>
  <c r="U1296" i="10"/>
  <c r="U5353" i="10"/>
  <c r="U5564" i="10"/>
  <c r="U611" i="10"/>
  <c r="U1024" i="10"/>
  <c r="U3768" i="10"/>
  <c r="U3992" i="10"/>
  <c r="U3623" i="10"/>
  <c r="U4193" i="10"/>
  <c r="U5280" i="10"/>
  <c r="U960" i="10"/>
  <c r="U5211" i="10"/>
  <c r="U3066" i="10"/>
  <c r="U4343" i="10"/>
  <c r="U5087" i="10"/>
  <c r="U4603" i="10"/>
  <c r="U3593" i="10"/>
  <c r="U3376" i="10"/>
  <c r="U4104" i="10"/>
  <c r="U5437" i="10"/>
  <c r="U4162" i="10"/>
  <c r="U4702" i="10"/>
  <c r="U376" i="10"/>
  <c r="U3452" i="10"/>
  <c r="U3475" i="10"/>
  <c r="U3733" i="10"/>
  <c r="U5172" i="10"/>
  <c r="U5453" i="10"/>
  <c r="U5305" i="10"/>
  <c r="Q764" i="10"/>
  <c r="U764" i="10" s="1"/>
  <c r="U3047" i="10"/>
  <c r="U1732" i="10"/>
  <c r="U2279" i="10"/>
  <c r="U2313" i="10"/>
  <c r="Q347" i="10"/>
  <c r="U347" i="10" s="1"/>
  <c r="U4498" i="10"/>
  <c r="U5012" i="10"/>
  <c r="U5476" i="10"/>
  <c r="Q672" i="10"/>
  <c r="U672" i="10" s="1"/>
  <c r="U5434" i="10"/>
  <c r="U5501" i="10"/>
  <c r="U1360" i="10"/>
  <c r="Q439" i="10"/>
  <c r="U439" i="10" s="1"/>
  <c r="U1293" i="10"/>
  <c r="U566" i="10"/>
  <c r="U185" i="10"/>
  <c r="U529" i="10"/>
  <c r="U1023" i="10"/>
  <c r="U969" i="10"/>
  <c r="U784" i="10"/>
  <c r="U4342" i="10"/>
  <c r="U686" i="10"/>
  <c r="U399" i="10"/>
  <c r="U1697" i="10"/>
  <c r="U556" i="10"/>
  <c r="U426" i="10"/>
  <c r="U2924" i="10"/>
  <c r="U788" i="10"/>
  <c r="O13" i="10"/>
  <c r="U4647" i="10"/>
  <c r="U643" i="10"/>
  <c r="U310" i="10"/>
  <c r="U4214" i="10"/>
  <c r="U3845" i="10"/>
  <c r="U4382" i="10"/>
  <c r="U4308" i="10"/>
  <c r="U435" i="10"/>
  <c r="U5289" i="10"/>
  <c r="U5009" i="10"/>
  <c r="U684" i="10"/>
  <c r="U4314" i="10"/>
  <c r="U4344" i="10"/>
  <c r="U5462" i="10"/>
  <c r="U2695" i="10"/>
  <c r="U880" i="10"/>
  <c r="U5559" i="10"/>
  <c r="U660" i="10"/>
  <c r="U3896" i="10"/>
  <c r="U3619" i="10"/>
  <c r="U5267" i="10"/>
  <c r="U1780" i="10"/>
  <c r="U3369" i="10"/>
  <c r="U4957" i="10"/>
  <c r="U466" i="10"/>
  <c r="U2139" i="10"/>
  <c r="U4549" i="10"/>
  <c r="U3024" i="10"/>
  <c r="U3715" i="10"/>
  <c r="U3499" i="10"/>
  <c r="U3877" i="10"/>
  <c r="U1055" i="10"/>
  <c r="U2781" i="10"/>
  <c r="U4429" i="10"/>
  <c r="U5546" i="10"/>
  <c r="U415" i="10"/>
  <c r="U5021" i="10"/>
  <c r="U38" i="10"/>
  <c r="U5252" i="10"/>
  <c r="U5526" i="10"/>
  <c r="U912" i="10"/>
  <c r="U600" i="10"/>
  <c r="U3723" i="10"/>
  <c r="U3569" i="10"/>
  <c r="U4666" i="10"/>
  <c r="U4560" i="10"/>
  <c r="U5335" i="10"/>
  <c r="U437" i="10"/>
  <c r="U5375" i="10"/>
  <c r="U507" i="10"/>
  <c r="U4521" i="10"/>
  <c r="U4766" i="10"/>
  <c r="U4435" i="10"/>
  <c r="U618" i="10"/>
  <c r="Q572" i="10"/>
  <c r="U572" i="10" s="1"/>
  <c r="U612" i="10"/>
  <c r="U1756" i="10"/>
  <c r="U2324" i="10"/>
  <c r="U2314" i="10"/>
  <c r="U2042" i="10"/>
  <c r="U996" i="10"/>
  <c r="U4625" i="10"/>
  <c r="U5193" i="10"/>
  <c r="U5131" i="10"/>
  <c r="Q286" i="10"/>
  <c r="U286" i="10" s="1"/>
  <c r="U5031" i="10"/>
  <c r="U661" i="10"/>
  <c r="U3816" i="10"/>
  <c r="U131" i="10"/>
  <c r="O5" i="10"/>
  <c r="U474" i="10"/>
  <c r="U884" i="10"/>
  <c r="U772" i="10"/>
  <c r="U177" i="10"/>
  <c r="U939" i="10"/>
  <c r="U4918" i="10"/>
  <c r="U773" i="10"/>
  <c r="U703" i="10"/>
  <c r="Q406" i="10"/>
  <c r="U406" i="10" s="1"/>
  <c r="U595" i="10"/>
  <c r="U2635" i="10"/>
  <c r="U5086" i="10"/>
  <c r="U4130" i="10"/>
  <c r="U1038" i="10"/>
  <c r="Q728" i="10"/>
  <c r="U728" i="10" s="1"/>
  <c r="U378" i="10"/>
  <c r="U351" i="10"/>
  <c r="U301" i="10"/>
  <c r="U4326" i="10"/>
  <c r="U4827" i="10"/>
  <c r="U3311" i="10"/>
  <c r="U4200" i="10"/>
  <c r="U4655" i="10"/>
  <c r="U4254" i="10"/>
  <c r="U4040" i="10"/>
  <c r="U330" i="10"/>
  <c r="U457" i="10"/>
  <c r="U3251" i="10"/>
  <c r="U3903" i="10"/>
  <c r="U2804" i="10"/>
  <c r="U3805" i="10"/>
  <c r="U4250" i="10"/>
  <c r="U714" i="10"/>
  <c r="U5319" i="10"/>
  <c r="U3847" i="10"/>
  <c r="U4474" i="10"/>
  <c r="U4995" i="10"/>
  <c r="U269" i="10"/>
  <c r="U651" i="10"/>
  <c r="U231" i="10"/>
  <c r="U4792" i="10"/>
  <c r="U3738" i="10"/>
  <c r="U4327" i="10"/>
  <c r="U5336" i="10"/>
  <c r="U1974" i="10"/>
  <c r="U460" i="10"/>
  <c r="U4671" i="10"/>
  <c r="U4315" i="10"/>
  <c r="U3323" i="10"/>
  <c r="U5047" i="10"/>
  <c r="U1019" i="10"/>
  <c r="U2654" i="10"/>
  <c r="U297" i="10"/>
  <c r="U2491" i="10"/>
  <c r="U470" i="10"/>
  <c r="U4165" i="10"/>
  <c r="Q190" i="10"/>
  <c r="U190" i="10" s="1"/>
  <c r="U4290" i="10"/>
  <c r="U931" i="10"/>
  <c r="U662" i="10"/>
  <c r="U4262" i="10"/>
  <c r="U5584" i="10"/>
  <c r="U405" i="10"/>
  <c r="U3966" i="10"/>
  <c r="U655" i="10"/>
  <c r="U4410" i="10"/>
  <c r="U5362" i="10"/>
  <c r="U1018" i="10"/>
  <c r="U5058" i="10"/>
  <c r="U649" i="10"/>
  <c r="U4672" i="10"/>
  <c r="U1757" i="10"/>
  <c r="U2325" i="10"/>
  <c r="U2315" i="10"/>
  <c r="Q54" i="10"/>
  <c r="U54" i="10" s="1"/>
  <c r="U997" i="10"/>
  <c r="U3796" i="10"/>
  <c r="U193" i="10"/>
  <c r="U5292" i="10"/>
  <c r="Q746" i="10"/>
  <c r="U746" i="10" s="1"/>
  <c r="U1095" i="10"/>
  <c r="U181" i="10"/>
  <c r="Q761" i="10"/>
  <c r="U761" i="10" s="1"/>
  <c r="Q80" i="10"/>
  <c r="U80" i="10" s="1"/>
  <c r="U1015" i="10"/>
  <c r="U823" i="10"/>
  <c r="U214" i="10"/>
  <c r="Q241" i="10"/>
  <c r="U241" i="10" s="1"/>
  <c r="U3423" i="10"/>
  <c r="U5112" i="10"/>
  <c r="U3830" i="10"/>
  <c r="U5239" i="10"/>
  <c r="U3782" i="10"/>
  <c r="Q583" i="10"/>
  <c r="U583" i="10" s="1"/>
  <c r="U354" i="10"/>
  <c r="U5361" i="10"/>
  <c r="U3728" i="10"/>
  <c r="U5090" i="10"/>
  <c r="U715" i="10"/>
  <c r="U24" i="10"/>
  <c r="U278" i="10"/>
  <c r="U360" i="10"/>
  <c r="U3156" i="10"/>
  <c r="U4533" i="10"/>
  <c r="U3649" i="10"/>
  <c r="U272" i="10"/>
  <c r="U3693" i="10"/>
  <c r="U571" i="10"/>
  <c r="U1344" i="10"/>
  <c r="U3604" i="10"/>
  <c r="U3532" i="10"/>
  <c r="U4066" i="10"/>
  <c r="U1281" i="10"/>
  <c r="U2699" i="10"/>
  <c r="U4037" i="10"/>
  <c r="U3305" i="10"/>
  <c r="U329" i="10"/>
  <c r="U903" i="10"/>
  <c r="U4124" i="10"/>
  <c r="U336" i="10"/>
  <c r="U296" i="10"/>
  <c r="U4778" i="10"/>
  <c r="U3377" i="10"/>
  <c r="U4067" i="10"/>
  <c r="U627" i="10"/>
  <c r="U4" i="10"/>
  <c r="U3572" i="10"/>
  <c r="U2855" i="10"/>
  <c r="U1684" i="10"/>
  <c r="U4639" i="10"/>
  <c r="U4793" i="10"/>
  <c r="U2448" i="10"/>
  <c r="U3876" i="10"/>
  <c r="U3401" i="10"/>
  <c r="U5081" i="10"/>
  <c r="U950" i="10"/>
  <c r="U5344" i="10"/>
  <c r="U85" i="10"/>
  <c r="U5190" i="10"/>
  <c r="U4745" i="10"/>
  <c r="U4340" i="10"/>
  <c r="Q670" i="10"/>
  <c r="U670" i="10" s="1"/>
  <c r="U4848" i="10"/>
  <c r="U4379" i="10"/>
  <c r="U482" i="10"/>
  <c r="U4469" i="10"/>
  <c r="U3577" i="10"/>
  <c r="U270" i="10"/>
  <c r="U1699" i="10"/>
  <c r="U3963" i="10"/>
  <c r="U1030" i="10"/>
  <c r="U4273" i="10"/>
  <c r="U793" i="10"/>
  <c r="U2395" i="10"/>
  <c r="U800" i="10"/>
  <c r="U2874" i="10"/>
  <c r="U1750" i="10"/>
  <c r="U2296" i="10"/>
  <c r="U2316" i="10"/>
  <c r="Q64" i="10"/>
  <c r="U64" i="10" s="1"/>
  <c r="U998" i="10"/>
  <c r="U2178" i="10"/>
  <c r="U2611" i="10"/>
  <c r="U4008" i="10"/>
  <c r="U5491" i="10"/>
  <c r="Q238" i="10"/>
  <c r="U238" i="10" s="1"/>
  <c r="Q836" i="10"/>
  <c r="U836" i="10" s="1"/>
  <c r="Q143" i="10"/>
  <c r="U143" i="10" s="1"/>
  <c r="U313" i="10"/>
  <c r="U603" i="10"/>
  <c r="U25" i="10"/>
  <c r="U828" i="10"/>
  <c r="U500" i="10"/>
  <c r="U462" i="10"/>
  <c r="U1573" i="10"/>
  <c r="U5316" i="10"/>
  <c r="U324" i="10"/>
  <c r="U1058" i="10"/>
  <c r="U802" i="10"/>
  <c r="U57" i="10"/>
  <c r="U1072" i="10"/>
  <c r="U2940" i="10"/>
  <c r="U5158" i="10"/>
  <c r="U4954" i="10"/>
  <c r="U5403" i="10"/>
  <c r="U77" i="10"/>
  <c r="U1278" i="10"/>
  <c r="U379" i="10"/>
  <c r="U4949" i="10"/>
  <c r="U4804" i="10"/>
  <c r="U3171" i="10"/>
  <c r="U265" i="10"/>
  <c r="U783" i="10"/>
  <c r="U3079" i="10"/>
  <c r="U3939" i="10"/>
  <c r="U73" i="10"/>
  <c r="U4304" i="10"/>
  <c r="Q725" i="10"/>
  <c r="U725" i="10" s="1"/>
  <c r="U3380" i="10"/>
  <c r="U4180" i="10"/>
  <c r="U4445" i="10"/>
  <c r="U4002" i="10"/>
  <c r="U515" i="10"/>
  <c r="U5033" i="10"/>
  <c r="U4980" i="10"/>
  <c r="U5281" i="10"/>
  <c r="U4223" i="10"/>
  <c r="U5106" i="10"/>
  <c r="U4657" i="10"/>
  <c r="Q941" i="10"/>
  <c r="U941" i="10" s="1"/>
  <c r="U4352" i="10"/>
  <c r="U830" i="10"/>
  <c r="U5379" i="10"/>
  <c r="U45" i="10"/>
  <c r="U2416" i="10"/>
  <c r="U3812" i="10"/>
  <c r="U3580" i="10"/>
  <c r="U459" i="10"/>
  <c r="U4420" i="10"/>
  <c r="U169" i="10"/>
  <c r="U955" i="10"/>
  <c r="U5387" i="10"/>
  <c r="U792" i="10"/>
  <c r="U4060" i="10"/>
  <c r="U2368" i="10"/>
  <c r="U5567" i="10"/>
  <c r="U53" i="10"/>
  <c r="U4390" i="10"/>
  <c r="U550" i="10"/>
  <c r="U701" i="10"/>
  <c r="U4259" i="10"/>
  <c r="U4841" i="10"/>
  <c r="U341" i="10"/>
  <c r="U4168" i="10"/>
  <c r="U3761" i="10"/>
  <c r="U4001" i="10"/>
  <c r="U4701" i="10"/>
  <c r="U469" i="10"/>
  <c r="U5350" i="10"/>
  <c r="U523" i="10"/>
  <c r="U1754" i="10"/>
  <c r="U2304" i="10"/>
  <c r="U2317" i="10"/>
  <c r="U2055" i="10"/>
  <c r="U1000" i="10"/>
  <c r="U1496" i="10"/>
  <c r="U208" i="10"/>
  <c r="U5378" i="10"/>
  <c r="U5460" i="10"/>
  <c r="Q810" i="10"/>
  <c r="U810" i="10" s="1"/>
  <c r="Q146" i="10"/>
  <c r="U146" i="10" s="1"/>
  <c r="Q147" i="10"/>
  <c r="U147" i="10" s="1"/>
  <c r="U796" i="10"/>
  <c r="U346" i="10"/>
  <c r="U88" i="10"/>
  <c r="U343" i="10"/>
  <c r="U5412" i="10"/>
  <c r="U506" i="10"/>
  <c r="U4532" i="10"/>
  <c r="U4806" i="10"/>
  <c r="U4295" i="10"/>
  <c r="Q1049" i="10"/>
  <c r="U1049" i="10" s="1"/>
  <c r="U951" i="10"/>
  <c r="Q492" i="10"/>
  <c r="U492" i="10" s="1"/>
  <c r="Q175" i="10"/>
  <c r="U175" i="10" s="1"/>
  <c r="U483" i="10"/>
  <c r="U5093" i="10"/>
  <c r="U4612" i="10"/>
  <c r="U732" i="10"/>
  <c r="U476" i="10"/>
  <c r="Q81" i="10"/>
  <c r="U81" i="10" s="1"/>
  <c r="U322" i="10"/>
  <c r="U5180" i="10"/>
  <c r="U5013" i="10"/>
  <c r="U4321" i="10"/>
  <c r="U3938" i="10"/>
  <c r="U5499" i="10"/>
  <c r="U3219" i="10"/>
  <c r="U2749" i="10"/>
  <c r="U383" i="10"/>
  <c r="U5341" i="10"/>
  <c r="Q574" i="10"/>
  <c r="U574" i="10" s="1"/>
  <c r="U3648" i="10"/>
  <c r="U4795" i="10"/>
  <c r="U281" i="10"/>
  <c r="U4048" i="10"/>
  <c r="U5495" i="10"/>
  <c r="U5369" i="10"/>
  <c r="U4572" i="10"/>
  <c r="U3951" i="10"/>
  <c r="U3975" i="10"/>
  <c r="U4551" i="10"/>
  <c r="U5276" i="10"/>
  <c r="U93" i="10"/>
  <c r="U3001" i="10"/>
  <c r="U664" i="10"/>
  <c r="U3415" i="10"/>
  <c r="U305" i="10"/>
  <c r="U2732" i="10"/>
  <c r="U364" i="10"/>
  <c r="U2090" i="10"/>
  <c r="U3765" i="10"/>
  <c r="U4307" i="10"/>
  <c r="U2683" i="10"/>
  <c r="U5473" i="10"/>
  <c r="U5436" i="10"/>
  <c r="U1008" i="10"/>
  <c r="U18" i="10"/>
  <c r="U665" i="10"/>
  <c r="U5020" i="10"/>
  <c r="U919" i="10"/>
  <c r="U3526" i="10"/>
  <c r="U3804" i="10"/>
  <c r="U59" i="10"/>
  <c r="U3120" i="10"/>
  <c r="U268" i="10"/>
  <c r="U4711" i="10"/>
  <c r="U3653" i="10"/>
  <c r="U4800" i="10"/>
  <c r="U4077" i="10"/>
  <c r="U5576" i="10"/>
  <c r="U306" i="10"/>
  <c r="U5401" i="10"/>
  <c r="U5339" i="10"/>
  <c r="U1733" i="10"/>
  <c r="U2288" i="10"/>
  <c r="U2318" i="10"/>
  <c r="U2037" i="10"/>
  <c r="U995" i="10"/>
  <c r="U1483" i="10"/>
  <c r="U3820" i="10"/>
  <c r="U3741" i="10"/>
  <c r="U4616" i="10"/>
  <c r="Q766" i="10"/>
  <c r="U766" i="10" s="1"/>
  <c r="Q719" i="10"/>
  <c r="U719" i="10" s="1"/>
  <c r="U570" i="10"/>
  <c r="U539" i="10"/>
  <c r="U282" i="10"/>
  <c r="U737" i="10"/>
  <c r="U387" i="10"/>
  <c r="U370" i="10"/>
  <c r="U4409" i="10"/>
  <c r="U2116" i="10"/>
  <c r="U2587" i="10"/>
  <c r="U463" i="10"/>
  <c r="U4424" i="10"/>
  <c r="U429" i="10"/>
  <c r="Q671" i="10"/>
  <c r="U671" i="10" s="1"/>
  <c r="Q248" i="10"/>
  <c r="U248" i="10" s="1"/>
  <c r="Q82" i="10"/>
  <c r="U82" i="10" s="1"/>
  <c r="U1031" i="10"/>
  <c r="U5358" i="10"/>
  <c r="U538" i="10"/>
  <c r="U91" i="10"/>
  <c r="U1033" i="10"/>
  <c r="U26" i="10"/>
  <c r="U485" i="10"/>
  <c r="U4082" i="10"/>
  <c r="U3598" i="10"/>
  <c r="U3984" i="10"/>
  <c r="U866" i="10"/>
  <c r="U4324" i="10"/>
  <c r="U3523" i="10"/>
  <c r="U2" i="10"/>
  <c r="U4571" i="10"/>
  <c r="Q808" i="10"/>
  <c r="U808" i="10" s="1"/>
  <c r="U5470" i="10"/>
  <c r="U2892" i="10"/>
  <c r="U225" i="10"/>
  <c r="U4101" i="10"/>
  <c r="U923" i="10"/>
  <c r="U421" i="10"/>
  <c r="U1998" i="10"/>
  <c r="U4033" i="10"/>
  <c r="U4618" i="10"/>
  <c r="U3445" i="10"/>
  <c r="U4892" i="10"/>
  <c r="U446" i="10"/>
  <c r="U4131" i="10"/>
  <c r="U976" i="10"/>
  <c r="U2345" i="10"/>
  <c r="U842" i="10"/>
  <c r="U3403" i="10"/>
  <c r="U5432" i="10"/>
  <c r="U4293" i="10"/>
  <c r="U4867" i="10"/>
  <c r="U4488" i="10"/>
  <c r="U555" i="10"/>
  <c r="U4537" i="10"/>
  <c r="U4154" i="10"/>
  <c r="U35" i="10"/>
  <c r="U5189" i="10"/>
  <c r="U633" i="10"/>
  <c r="U609" i="10"/>
  <c r="U712" i="10"/>
  <c r="U5198" i="10"/>
  <c r="U5454" i="10"/>
  <c r="U276" i="10"/>
  <c r="U5565" i="10"/>
  <c r="U3747" i="10"/>
  <c r="U3651" i="10"/>
  <c r="U4757" i="10"/>
  <c r="U3194" i="10"/>
  <c r="U4261" i="10"/>
  <c r="U3918" i="10"/>
  <c r="U274" i="10"/>
  <c r="U5449" i="10"/>
  <c r="U879" i="10"/>
  <c r="U1751" i="10"/>
  <c r="U2326" i="10"/>
  <c r="U2319" i="10"/>
  <c r="U1592" i="10"/>
  <c r="Q991" i="10"/>
  <c r="U991" i="10" s="1"/>
  <c r="Q191" i="10"/>
  <c r="U191" i="10" s="1"/>
  <c r="U4910" i="10"/>
  <c r="U120" i="10"/>
  <c r="U315" i="10"/>
  <c r="Q573" i="10"/>
  <c r="U573" i="10" s="1"/>
  <c r="U699" i="10"/>
  <c r="U822" i="10"/>
  <c r="U411" i="10"/>
  <c r="U3509" i="10"/>
  <c r="U423" i="10"/>
  <c r="U915" i="10"/>
  <c r="U3462" i="10"/>
  <c r="U3114" i="10"/>
  <c r="U650" i="10"/>
  <c r="U3422" i="10"/>
  <c r="U367" i="10"/>
  <c r="U1052" i="10"/>
  <c r="U4257" i="10"/>
  <c r="Q197" i="10"/>
  <c r="U197" i="10" s="1"/>
  <c r="Q242" i="10"/>
  <c r="U242" i="10" s="1"/>
  <c r="Q992" i="10"/>
  <c r="U992" i="10" s="1"/>
  <c r="U5485" i="10"/>
  <c r="U1915" i="10"/>
  <c r="U559" i="10"/>
  <c r="U4631" i="10"/>
  <c r="U3316" i="10"/>
  <c r="U920" i="10"/>
  <c r="U5504" i="10"/>
  <c r="U4031" i="10"/>
  <c r="U4584" i="10"/>
  <c r="U5159" i="10"/>
  <c r="U540" i="10"/>
  <c r="U4147" i="10"/>
  <c r="U4738" i="10"/>
  <c r="U5558" i="10"/>
  <c r="U747" i="10"/>
  <c r="Q475" i="10"/>
  <c r="U475" i="10" s="1"/>
  <c r="U3149" i="10"/>
  <c r="U372" i="10"/>
  <c r="U285" i="10"/>
  <c r="U4276" i="10"/>
  <c r="U317" i="10"/>
  <c r="U5440" i="10"/>
  <c r="U756" i="10"/>
  <c r="U4173" i="10"/>
  <c r="U3699" i="10"/>
  <c r="U3425" i="10"/>
  <c r="U271" i="10"/>
  <c r="U318" i="10"/>
  <c r="U4817" i="10"/>
  <c r="U5371" i="10"/>
  <c r="U4264" i="10"/>
  <c r="U4581" i="10"/>
  <c r="U5537" i="10"/>
  <c r="U4803" i="10"/>
  <c r="U4468" i="10"/>
  <c r="U202" i="10"/>
  <c r="U4471" i="10"/>
  <c r="U5184" i="10"/>
  <c r="U901" i="10"/>
  <c r="U4256" i="10"/>
  <c r="U4403" i="10"/>
  <c r="U3143" i="10"/>
  <c r="U787" i="10"/>
  <c r="U2896" i="10"/>
  <c r="U4289" i="10"/>
  <c r="U5244" i="10"/>
  <c r="U3991" i="10"/>
  <c r="U74" i="10"/>
  <c r="U4282" i="10"/>
  <c r="U1539" i="10"/>
  <c r="U5416" i="10"/>
  <c r="U4925" i="10"/>
  <c r="Q814" i="10"/>
  <c r="U814" i="10" s="1"/>
  <c r="U4436" i="10"/>
  <c r="U3575" i="10"/>
  <c r="U713" i="10"/>
  <c r="U3965" i="10"/>
  <c r="U3180" i="10"/>
  <c r="U3439" i="10"/>
  <c r="U1755" i="10"/>
  <c r="U2297" i="10"/>
  <c r="U2320" i="10"/>
  <c r="U1880" i="10"/>
  <c r="U1002" i="10"/>
  <c r="Q629" i="10"/>
  <c r="U629" i="10" s="1"/>
  <c r="U3856" i="10"/>
  <c r="U392" i="10"/>
  <c r="U882" i="10"/>
  <c r="O10" i="10"/>
  <c r="U3528" i="10"/>
  <c r="U217" i="10"/>
  <c r="U264" i="10"/>
  <c r="U412" i="10"/>
  <c r="U501" i="10"/>
  <c r="U2496" i="10"/>
  <c r="U4570" i="10"/>
  <c r="U4565" i="10"/>
  <c r="U1009" i="10"/>
  <c r="U168" i="10"/>
  <c r="U4245" i="10"/>
  <c r="U2747" i="10"/>
  <c r="U377" i="10"/>
  <c r="U448" i="10"/>
  <c r="Q758" i="10"/>
  <c r="U758" i="10" s="1"/>
  <c r="U328" i="10"/>
  <c r="U4020" i="10"/>
  <c r="U2921" i="10"/>
  <c r="U1022" i="10"/>
  <c r="U873" i="10"/>
  <c r="U342" i="10"/>
  <c r="U311" i="10"/>
  <c r="U3947" i="10"/>
  <c r="U4297" i="10"/>
  <c r="U4088" i="10"/>
  <c r="U4119" i="10"/>
  <c r="U319" i="10"/>
  <c r="U3429" i="10"/>
  <c r="U3849" i="10"/>
  <c r="U3463" i="10"/>
  <c r="U4163" i="10"/>
  <c r="U986" i="10"/>
  <c r="U5384" i="10"/>
  <c r="U5027" i="10"/>
  <c r="U4073" i="10"/>
  <c r="U5467" i="10"/>
  <c r="U119" i="10"/>
  <c r="U3750" i="10"/>
  <c r="U535" i="10"/>
  <c r="U3188" i="10"/>
  <c r="U4935" i="10"/>
  <c r="U4278" i="10"/>
  <c r="U4705" i="10"/>
  <c r="U705" i="10"/>
  <c r="U5410" i="10"/>
  <c r="U634" i="10"/>
  <c r="U3764" i="10"/>
  <c r="U3772" i="10"/>
  <c r="U4185" i="10"/>
  <c r="U4821" i="10"/>
  <c r="U5150" i="10"/>
  <c r="U3239" i="10"/>
  <c r="U4809" i="10"/>
  <c r="U867" i="10"/>
  <c r="U5217" i="10"/>
  <c r="U2105" i="10"/>
  <c r="Q904" i="10"/>
  <c r="U904" i="10" s="1"/>
  <c r="U5492" i="10"/>
  <c r="U569" i="10"/>
  <c r="U2836" i="10"/>
  <c r="U32" i="10"/>
  <c r="U5448" i="10"/>
  <c r="U4609" i="10"/>
  <c r="U4548" i="10"/>
  <c r="U78" i="10"/>
  <c r="U410" i="10"/>
  <c r="U4350" i="10"/>
  <c r="U565" i="10"/>
  <c r="U541" i="10"/>
  <c r="U4098" i="10"/>
  <c r="U4839" i="10"/>
  <c r="U50" i="10"/>
  <c r="U757" i="10"/>
  <c r="U149" i="10"/>
  <c r="U3336" i="10"/>
  <c r="Q1744" i="10"/>
  <c r="U1744" i="10" s="1"/>
  <c r="U2298" i="10"/>
  <c r="U2321" i="10"/>
  <c r="U1003" i="10"/>
  <c r="Q626" i="10"/>
  <c r="U626" i="10" s="1"/>
  <c r="U4370" i="10"/>
  <c r="Q837" i="10"/>
  <c r="U837" i="10" s="1"/>
  <c r="U846" i="10"/>
  <c r="U924" i="10"/>
  <c r="U3590" i="10"/>
  <c r="U636" i="10"/>
  <c r="U509" i="10"/>
  <c r="U183" i="10"/>
  <c r="U4184" i="10"/>
  <c r="U3867" i="10"/>
  <c r="U4345" i="10"/>
  <c r="U2058" i="10"/>
  <c r="U3612" i="10"/>
  <c r="U687" i="10"/>
  <c r="U5236" i="10"/>
  <c r="U844" i="10"/>
  <c r="U335" i="10"/>
  <c r="U895" i="10"/>
  <c r="U5423" i="10"/>
  <c r="U711" i="10"/>
  <c r="U3969" i="10"/>
  <c r="U316" i="10"/>
  <c r="U2907" i="10"/>
  <c r="U852" i="10"/>
  <c r="U981" i="10"/>
  <c r="U5117" i="10"/>
  <c r="U1996" i="10"/>
  <c r="U5402" i="10"/>
  <c r="U710" i="10"/>
  <c r="U219" i="10"/>
  <c r="U4378" i="10"/>
  <c r="U5295" i="10"/>
  <c r="U5138" i="10"/>
  <c r="U4881" i="10"/>
  <c r="Q938" i="10"/>
  <c r="U938" i="10" s="1"/>
  <c r="U5048" i="10"/>
  <c r="U5132" i="10"/>
  <c r="U4478" i="10"/>
  <c r="U4383" i="10"/>
  <c r="U590" i="10"/>
  <c r="U5393" i="10"/>
  <c r="U946" i="10"/>
  <c r="U4375" i="10"/>
  <c r="U1725" i="10"/>
  <c r="U5054" i="10"/>
  <c r="U2152" i="10"/>
  <c r="U5364" i="10"/>
  <c r="U3933" i="10"/>
  <c r="U813" i="10"/>
  <c r="U3052" i="10"/>
  <c r="U3614" i="10"/>
  <c r="U2939" i="10"/>
  <c r="U1464" i="10"/>
  <c r="U5433" i="10"/>
  <c r="U3775" i="10"/>
  <c r="U3621" i="10"/>
  <c r="U2875" i="10"/>
  <c r="U5163" i="10"/>
  <c r="U5471" i="10"/>
  <c r="U896" i="10"/>
  <c r="U3997" i="10"/>
  <c r="U5575" i="10"/>
  <c r="U5551" i="10"/>
  <c r="U820" i="10"/>
  <c r="U4188" i="10"/>
  <c r="U5583" i="10"/>
  <c r="U834" i="10"/>
  <c r="U4164" i="10"/>
  <c r="Q674" i="10"/>
  <c r="U674" i="10" s="1"/>
  <c r="U1637" i="10"/>
  <c r="U4103" i="10"/>
  <c r="Q505" i="10"/>
  <c r="U505" i="10" s="1"/>
  <c r="U4336" i="10"/>
  <c r="U872" i="10"/>
  <c r="U4614" i="10"/>
  <c r="U4167" i="10"/>
  <c r="U89" i="10"/>
  <c r="U3307" i="10"/>
  <c r="Q1745" i="10"/>
  <c r="U1745" i="10" s="1"/>
  <c r="U2302" i="10"/>
  <c r="U2310" i="10"/>
  <c r="U1006" i="10"/>
  <c r="Q681" i="10"/>
  <c r="U681" i="10" s="1"/>
  <c r="U771" i="10"/>
  <c r="U114" i="10"/>
  <c r="U979" i="10"/>
  <c r="U3252" i="10"/>
  <c r="U733" i="10"/>
  <c r="U970" i="10"/>
  <c r="U4895" i="10"/>
  <c r="U928" i="10"/>
  <c r="U3043" i="10"/>
  <c r="U4506" i="10"/>
  <c r="U3303" i="10"/>
  <c r="U908" i="10"/>
  <c r="U4055" i="10"/>
  <c r="Q19" i="10"/>
  <c r="U19" i="10" s="1"/>
  <c r="U3734" i="10"/>
  <c r="U303" i="10"/>
  <c r="U123" i="10"/>
  <c r="U267" i="10"/>
  <c r="U1073" i="10"/>
  <c r="U4743" i="10"/>
  <c r="U4279" i="10"/>
  <c r="U5411" i="10"/>
  <c r="U4318" i="10"/>
  <c r="U11" i="10"/>
  <c r="U519" i="10"/>
  <c r="U4197" i="10"/>
  <c r="Q673" i="10"/>
  <c r="U673" i="10" s="1"/>
  <c r="U2883" i="10"/>
  <c r="U3705" i="10"/>
  <c r="U532" i="10"/>
  <c r="U5461" i="10"/>
  <c r="U4513" i="10"/>
  <c r="U927" i="10"/>
  <c r="U4102" i="10"/>
  <c r="U589" i="10"/>
  <c r="U5277" i="10"/>
  <c r="U3941" i="10"/>
  <c r="U1249" i="10"/>
  <c r="U3118" i="10"/>
  <c r="U3363" i="10"/>
  <c r="U1659" i="10"/>
  <c r="U8" i="10"/>
  <c r="U4917" i="10"/>
  <c r="U4668" i="10"/>
  <c r="U3366" i="10"/>
  <c r="U3971" i="10"/>
  <c r="U4476" i="10"/>
  <c r="U458" i="10"/>
  <c r="U1026" i="10"/>
  <c r="U1909" i="10"/>
  <c r="U3565" i="10"/>
  <c r="U4086" i="10"/>
  <c r="U3763" i="10"/>
  <c r="U4230" i="10"/>
  <c r="U5225" i="10"/>
  <c r="U3050" i="10"/>
  <c r="U4931" i="10"/>
  <c r="U4452" i="10"/>
  <c r="U3929" i="10"/>
  <c r="U858" i="10"/>
  <c r="U293" i="10"/>
  <c r="U5240" i="10"/>
  <c r="U3993" i="10"/>
  <c r="U5439" i="10"/>
  <c r="U778" i="10"/>
  <c r="U3988" i="10"/>
  <c r="U125" i="10"/>
  <c r="U3987" i="10"/>
  <c r="Q109" i="10"/>
  <c r="U109" i="10" s="1"/>
  <c r="U2915" i="10"/>
  <c r="U4886" i="10"/>
  <c r="U824" i="10"/>
  <c r="U5562" i="10"/>
  <c r="U3629" i="10"/>
  <c r="U3355" i="10"/>
  <c r="U4950" i="10"/>
  <c r="U75" i="10"/>
  <c r="U4393" i="10"/>
  <c r="U1749" i="10"/>
  <c r="U2277" i="10"/>
  <c r="U2312" i="10"/>
  <c r="U1004" i="10"/>
  <c r="U1263" i="10"/>
  <c r="U3709" i="10"/>
  <c r="U4754" i="10"/>
  <c r="U4579" i="10"/>
  <c r="U5481" i="10"/>
  <c r="U431" i="10"/>
  <c r="U958" i="10"/>
  <c r="U4727" i="10"/>
  <c r="U4547" i="10"/>
  <c r="U2651" i="10"/>
  <c r="U3960" i="10"/>
  <c r="U2384" i="10"/>
  <c r="U3129" i="10"/>
  <c r="U4903" i="10"/>
  <c r="Q584" i="10"/>
  <c r="U584" i="10" s="1"/>
  <c r="U4835" i="10"/>
  <c r="U3646" i="10"/>
  <c r="U4831" i="10"/>
  <c r="U3309" i="10"/>
  <c r="U1090" i="10"/>
  <c r="U5171" i="10"/>
  <c r="U3545" i="10"/>
  <c r="U5157" i="10"/>
  <c r="U993" i="10"/>
  <c r="U4253" i="10"/>
  <c r="U90" i="10"/>
  <c r="U4863" i="10"/>
  <c r="U4372" i="10"/>
  <c r="U552" i="10"/>
  <c r="U5315" i="10"/>
  <c r="U3054" i="10"/>
  <c r="U786" i="10"/>
  <c r="U3497" i="10"/>
  <c r="U5186" i="10"/>
  <c r="U4450" i="10"/>
  <c r="U4309" i="10"/>
  <c r="U384" i="10"/>
  <c r="U4252" i="10"/>
  <c r="U3756" i="10"/>
  <c r="U4485" i="10"/>
  <c r="U5060" i="10"/>
  <c r="U5170" i="10"/>
  <c r="U40" i="10"/>
  <c r="U835" i="10"/>
  <c r="U4667" i="10"/>
  <c r="U4774" i="10"/>
  <c r="U39" i="10"/>
  <c r="U3576" i="10"/>
  <c r="U12" i="10"/>
  <c r="U4930" i="10"/>
  <c r="U994" i="10"/>
  <c r="U4994" i="10"/>
  <c r="U381" i="10"/>
  <c r="U5381" i="10"/>
  <c r="U1874" i="10"/>
  <c r="U4437" i="10"/>
  <c r="U1677" i="10"/>
  <c r="U4190" i="10"/>
  <c r="U266" i="10"/>
  <c r="U4339" i="10"/>
  <c r="U967" i="10"/>
  <c r="U826" i="10"/>
  <c r="U4320" i="10"/>
  <c r="U323" i="10"/>
  <c r="U5426" i="10"/>
  <c r="U3505" i="10"/>
  <c r="U2919" i="10"/>
  <c r="U4127" i="10"/>
  <c r="U729" i="10"/>
  <c r="U5533" i="10"/>
  <c r="Q768" i="10"/>
  <c r="U768" i="10" s="1"/>
  <c r="U4111" i="10"/>
  <c r="U5282" i="10"/>
  <c r="U1040" i="10"/>
  <c r="U4121" i="10"/>
  <c r="U3119" i="10"/>
  <c r="U5329" i="10"/>
  <c r="U5321" i="10"/>
  <c r="U5291" i="10"/>
  <c r="U4249" i="10"/>
  <c r="U1753" i="10"/>
  <c r="U2300" i="10"/>
  <c r="U2293" i="10"/>
  <c r="U309" i="10"/>
  <c r="U1075" i="10"/>
  <c r="U30" i="10"/>
  <c r="U5398" i="10"/>
  <c r="U3591" i="10"/>
  <c r="U489" i="10"/>
  <c r="U5257" i="10"/>
  <c r="U4680" i="10"/>
  <c r="U3507" i="10"/>
  <c r="U4984" i="10"/>
  <c r="U3152" i="10"/>
  <c r="U527" i="10"/>
  <c r="U3958" i="10"/>
  <c r="U3501" i="10"/>
  <c r="Q575" i="10"/>
  <c r="U575" i="10" s="1"/>
  <c r="U3444" i="10"/>
  <c r="U4283" i="10"/>
  <c r="U560" i="10"/>
  <c r="U186" i="10"/>
  <c r="Q196" i="10"/>
  <c r="U196" i="10" s="1"/>
  <c r="U4448" i="10"/>
  <c r="U916" i="10"/>
  <c r="U4069" i="10"/>
  <c r="U3375" i="10"/>
  <c r="U4182" i="10"/>
  <c r="U511" i="10"/>
  <c r="U473" i="10"/>
  <c r="U5338" i="10"/>
  <c r="Q623" i="10"/>
  <c r="U623" i="10" s="1"/>
  <c r="U3801" i="10"/>
  <c r="U4998" i="10"/>
  <c r="U49" i="10"/>
  <c r="U2026" i="10"/>
  <c r="U1555" i="10"/>
  <c r="U862" i="10"/>
  <c r="U1027" i="10"/>
  <c r="U855" i="10"/>
  <c r="U971" i="10"/>
  <c r="U3582" i="10"/>
  <c r="U4660" i="10"/>
  <c r="U5075" i="10"/>
  <c r="U4381" i="10"/>
  <c r="U4865" i="10"/>
  <c r="U3977" i="10"/>
  <c r="U4830" i="10"/>
  <c r="U331" i="10"/>
  <c r="U4065" i="10"/>
  <c r="U3770" i="10"/>
  <c r="U4515" i="10"/>
  <c r="U5105" i="10"/>
  <c r="U987" i="10"/>
  <c r="U5201" i="10"/>
  <c r="U151" i="10"/>
  <c r="U4062" i="10"/>
  <c r="U188" i="10"/>
  <c r="U5331" i="10"/>
  <c r="U4948" i="10"/>
  <c r="U3076" i="10"/>
  <c r="U5496" i="10"/>
  <c r="U3259" i="10"/>
  <c r="U3837" i="10"/>
  <c r="U373" i="10"/>
  <c r="U2169" i="10"/>
  <c r="U3662" i="10"/>
  <c r="U4351" i="10"/>
  <c r="U4041" i="10"/>
  <c r="U3438" i="10"/>
  <c r="U1064" i="10"/>
  <c r="U1014" i="10"/>
  <c r="U4539" i="10"/>
  <c r="U881" i="10"/>
  <c r="U4129" i="10"/>
  <c r="U4058" i="10"/>
  <c r="U355" i="10"/>
  <c r="U779" i="10"/>
  <c r="U222" i="10"/>
  <c r="U4349" i="10"/>
  <c r="U4924" i="10"/>
  <c r="U134" i="10"/>
  <c r="U356" i="10"/>
  <c r="U1402" i="10"/>
  <c r="U2286" i="10"/>
  <c r="U2331" i="10"/>
  <c r="U706" i="10"/>
  <c r="Q582" i="10"/>
  <c r="U582" i="10" s="1"/>
  <c r="U449" i="10"/>
  <c r="U5174" i="10"/>
  <c r="U567" i="10"/>
  <c r="U419" i="10"/>
  <c r="U167" i="10"/>
  <c r="U3508" i="10"/>
  <c r="U2663" i="10"/>
  <c r="U3656" i="10"/>
  <c r="U2052" i="10"/>
  <c r="U5483" i="10"/>
  <c r="U5049" i="10"/>
  <c r="U1042" i="10"/>
  <c r="U1686" i="10"/>
  <c r="U400" i="10"/>
  <c r="U3624" i="10"/>
  <c r="U3543" i="10"/>
  <c r="U1036" i="10"/>
  <c r="Q585" i="10"/>
  <c r="U585" i="10" s="1"/>
  <c r="U1482" i="10"/>
  <c r="U179" i="10"/>
  <c r="U133" i="10"/>
  <c r="U3737" i="10"/>
  <c r="U3215" i="10"/>
  <c r="U450" i="10"/>
  <c r="U92" i="10"/>
  <c r="U3372" i="10"/>
  <c r="U5008" i="10"/>
  <c r="U1056" i="10"/>
  <c r="U4402" i="10"/>
  <c r="U974" i="10"/>
  <c r="U4635" i="10"/>
  <c r="U3613" i="10"/>
  <c r="U1070" i="10"/>
  <c r="U4288" i="10"/>
  <c r="U616" i="10"/>
  <c r="U4387" i="10"/>
  <c r="U5233" i="10"/>
  <c r="U5427" i="10"/>
  <c r="U5218" i="10"/>
  <c r="U865" i="10"/>
  <c r="U5124" i="10"/>
  <c r="U5309" i="10"/>
  <c r="U4856" i="10"/>
  <c r="U3760" i="10"/>
  <c r="U4237" i="10"/>
  <c r="U4902" i="10"/>
  <c r="U3563" i="10"/>
  <c r="U5527" i="10"/>
  <c r="U930" i="10"/>
  <c r="U5365" i="10"/>
  <c r="U654" i="10"/>
  <c r="U2723" i="10"/>
  <c r="U853" i="10"/>
  <c r="U5085" i="10"/>
  <c r="U3112" i="10"/>
  <c r="U2729" i="10"/>
  <c r="U3664" i="10"/>
  <c r="U5042" i="10"/>
  <c r="U362" i="10"/>
  <c r="U730" i="10"/>
  <c r="U5254" i="10"/>
  <c r="U3030" i="10"/>
  <c r="U3086" i="10"/>
  <c r="U4768" i="10"/>
  <c r="U3083" i="10"/>
  <c r="U4114" i="10"/>
  <c r="U982" i="10"/>
  <c r="U5229" i="10"/>
  <c r="U491" i="10"/>
  <c r="U4301" i="10"/>
  <c r="U899" i="10"/>
  <c r="U4441" i="10"/>
  <c r="U4195" i="10"/>
  <c r="Q148" i="10"/>
  <c r="U148" i="10" s="1"/>
  <c r="U869" i="10"/>
  <c r="U4006" i="10"/>
  <c r="U3727" i="10"/>
  <c r="U4512" i="10"/>
  <c r="U1403" i="10"/>
  <c r="U2330" i="10"/>
  <c r="U2328" i="10"/>
  <c r="Q999" i="10"/>
  <c r="U365" i="10"/>
  <c r="U361" i="10"/>
  <c r="U171" i="10"/>
  <c r="U4456" i="10"/>
  <c r="U4736" i="10"/>
  <c r="U140" i="10"/>
  <c r="U5581" i="10"/>
  <c r="U2665" i="10"/>
  <c r="U2599" i="10"/>
  <c r="U1328" i="10"/>
  <c r="U3209" i="10"/>
  <c r="U4183" i="10"/>
  <c r="U3529" i="10"/>
  <c r="U115" i="10"/>
  <c r="U145" i="10"/>
  <c r="U3865" i="10"/>
  <c r="U3861" i="10"/>
  <c r="U5230" i="10"/>
  <c r="U888" i="10"/>
  <c r="Q625" i="10"/>
  <c r="U625" i="10" s="1"/>
  <c r="U1481" i="10"/>
  <c r="U3557" i="10"/>
  <c r="U5399" i="10"/>
  <c r="U3661" i="10"/>
  <c r="U1467" i="10"/>
  <c r="U966" i="10"/>
  <c r="U526" i="10"/>
  <c r="U4134" i="10"/>
  <c r="U534" i="10"/>
  <c r="U4703" i="10"/>
  <c r="U5428" i="10"/>
  <c r="U3464" i="10"/>
  <c r="U811" i="10"/>
  <c r="U3707" i="10"/>
  <c r="U4927" i="10"/>
  <c r="U2137" i="10"/>
  <c r="U4225" i="10"/>
  <c r="U3399" i="10"/>
  <c r="U4849" i="10"/>
  <c r="U5080" i="10"/>
  <c r="U3870" i="10"/>
  <c r="U60" i="10"/>
  <c r="U5139" i="10"/>
  <c r="U5143" i="10"/>
  <c r="U164" i="10"/>
  <c r="U4794" i="10"/>
  <c r="U5568" i="10"/>
  <c r="U2643" i="10"/>
  <c r="U3467" i="10"/>
  <c r="U3868" i="10"/>
  <c r="U5582" i="10"/>
  <c r="U4956" i="10"/>
  <c r="U5563" i="10"/>
  <c r="U2107" i="10"/>
  <c r="U236" i="10"/>
  <c r="U1375" i="10"/>
  <c r="U388" i="10"/>
  <c r="U3011" i="10"/>
  <c r="U1034" i="10"/>
  <c r="U3383" i="10"/>
  <c r="U4160" i="10"/>
  <c r="U5447" i="10"/>
  <c r="U5241" i="10"/>
  <c r="U4483" i="10"/>
  <c r="U5128" i="10"/>
  <c r="U1041" i="10"/>
  <c r="U4118" i="10"/>
  <c r="U3579" i="10"/>
  <c r="U464" i="10"/>
  <c r="U3247" i="10"/>
  <c r="U1044" i="10"/>
  <c r="U4389" i="10"/>
  <c r="U4828" i="10"/>
  <c r="U353" i="10"/>
  <c r="U2427" i="10"/>
  <c r="O9" i="10"/>
  <c r="U5153" i="10"/>
  <c r="U4213" i="10"/>
  <c r="U5320" i="10"/>
  <c r="U1404" i="10"/>
  <c r="U2301" i="10"/>
  <c r="U2294" i="10"/>
  <c r="U5521" i="10"/>
  <c r="Q481" i="10"/>
  <c r="U481" i="10" s="1"/>
  <c r="U5442" i="10"/>
  <c r="U5409" i="10"/>
  <c r="U298" i="10"/>
  <c r="U4120" i="10"/>
  <c r="U5468" i="10"/>
  <c r="U4356" i="10"/>
  <c r="U4156" i="10"/>
  <c r="U4028" i="10"/>
  <c r="U4728" i="10"/>
  <c r="U5177" i="10"/>
  <c r="U2675" i="10"/>
  <c r="U521" i="10"/>
  <c r="U961" i="10"/>
  <c r="U3424" i="10"/>
  <c r="U2567" i="10"/>
  <c r="U5001" i="10"/>
  <c r="U4473" i="10"/>
  <c r="Q20" i="10"/>
  <c r="U20" i="10" s="1"/>
  <c r="U2697" i="10"/>
  <c r="U2629" i="10"/>
  <c r="U4306" i="10"/>
  <c r="U4407" i="10"/>
  <c r="U3730" i="10"/>
  <c r="U3806" i="10"/>
  <c r="U76" i="10"/>
  <c r="U4341" i="10"/>
  <c r="U4444" i="10"/>
  <c r="U3082" i="10"/>
  <c r="U4084" i="10"/>
  <c r="U152" i="10"/>
  <c r="U4227" i="10"/>
  <c r="U5214" i="10"/>
  <c r="U1970" i="10"/>
  <c r="U5061" i="10"/>
  <c r="Q985" i="10"/>
  <c r="U985" i="10" s="1"/>
  <c r="U3067" i="10"/>
  <c r="U5183" i="10"/>
  <c r="U4520" i="10"/>
  <c r="U929" i="10"/>
  <c r="U606" i="10"/>
  <c r="U5133" i="10"/>
  <c r="U156" i="10"/>
  <c r="U4416" i="10"/>
  <c r="U1693" i="10"/>
  <c r="U4107" i="10"/>
  <c r="U3697" i="10"/>
  <c r="U4310" i="10"/>
  <c r="U877" i="10"/>
  <c r="U3368" i="10"/>
  <c r="U233" i="10"/>
  <c r="U635" i="10"/>
  <c r="U4247" i="10"/>
  <c r="U4516" i="10"/>
  <c r="U4263" i="10"/>
  <c r="U4634" i="10"/>
  <c r="U5019" i="10"/>
  <c r="U3863" i="10"/>
  <c r="U3356" i="10"/>
  <c r="U1047" i="10"/>
  <c r="U3449" i="10"/>
  <c r="F8" i="10"/>
  <c r="U3521" i="10"/>
  <c r="U4632" i="10"/>
  <c r="U738" i="10"/>
  <c r="U5283" i="10"/>
  <c r="U4361" i="10"/>
  <c r="U854" i="10"/>
  <c r="U1129" i="10"/>
  <c r="U5421" i="10"/>
  <c r="U3291" i="10"/>
  <c r="U5443" i="10"/>
  <c r="U954" i="10"/>
  <c r="U5517" i="10"/>
  <c r="Q245" i="10"/>
  <c r="U245" i="10" s="1"/>
  <c r="U4971" i="10"/>
  <c r="U5524" i="10"/>
  <c r="Q516" i="10"/>
  <c r="U516" i="10" s="1"/>
  <c r="U1405" i="10"/>
  <c r="U2290" i="10"/>
  <c r="U2295" i="10"/>
  <c r="U925" i="10"/>
  <c r="Q176" i="10"/>
  <c r="U176" i="10" s="1"/>
  <c r="U4543" i="10"/>
  <c r="U4094" i="10"/>
  <c r="U848" i="10"/>
  <c r="U5307" i="10"/>
  <c r="U4286" i="10"/>
  <c r="U4157" i="10"/>
  <c r="U2933" i="10"/>
  <c r="U4025" i="10"/>
  <c r="U4122" i="10"/>
  <c r="U4996" i="10"/>
  <c r="U3880" i="10"/>
  <c r="U4269" i="10"/>
  <c r="U1486" i="10"/>
  <c r="U5107" i="10"/>
  <c r="U4047" i="10"/>
  <c r="U3272" i="10"/>
  <c r="U430" i="10"/>
  <c r="U447" i="10"/>
  <c r="U1078" i="10"/>
  <c r="Q467" i="10"/>
  <c r="U467" i="10" s="1"/>
  <c r="U1067" i="10"/>
  <c r="U4126" i="10"/>
  <c r="U4801" i="10"/>
  <c r="U4317" i="10"/>
  <c r="U1062" i="10"/>
  <c r="U5237" i="10"/>
  <c r="U861" i="10"/>
  <c r="U3081" i="10"/>
  <c r="U3908" i="10"/>
  <c r="U702" i="10"/>
  <c r="U2825" i="10"/>
  <c r="Q440" i="10"/>
  <c r="U440" i="10" s="1"/>
  <c r="U4486" i="10"/>
  <c r="U1499" i="10"/>
  <c r="U543" i="10"/>
  <c r="U3561" i="10"/>
  <c r="U5154" i="10"/>
  <c r="U4024" i="10"/>
  <c r="U4003" i="10"/>
  <c r="U5115" i="10"/>
  <c r="U3175" i="10"/>
  <c r="U821" i="10"/>
  <c r="U3161" i="10"/>
  <c r="U1010" i="10"/>
  <c r="U4391" i="10"/>
  <c r="U3911" i="10"/>
  <c r="U4422" i="10"/>
  <c r="U3663" i="10"/>
  <c r="U43" i="10"/>
  <c r="U3906" i="10"/>
  <c r="U700" i="10"/>
  <c r="U5544" i="10"/>
  <c r="U385" i="10"/>
  <c r="U1563" i="10"/>
  <c r="U4724" i="10"/>
  <c r="U4888" i="10"/>
  <c r="U4481" i="10"/>
  <c r="U5222" i="10"/>
  <c r="U4857" i="10"/>
  <c r="U676" i="10"/>
  <c r="U1851" i="10"/>
  <c r="U3317" i="10"/>
  <c r="U69" i="10"/>
  <c r="U284" i="10"/>
  <c r="U4658" i="10"/>
  <c r="U525" i="10"/>
  <c r="U3673" i="10"/>
  <c r="U5192" i="10"/>
  <c r="U4406" i="10"/>
  <c r="U5270" i="10"/>
  <c r="U3762" i="10"/>
  <c r="U1046" i="10"/>
  <c r="U4218" i="10"/>
  <c r="U781" i="10"/>
  <c r="U4640" i="10"/>
  <c r="U3897" i="10"/>
  <c r="U833" i="10"/>
  <c r="U1406" i="10"/>
  <c r="U2332" i="10"/>
  <c r="U2292" i="10"/>
  <c r="Q1005" i="10"/>
  <c r="U1005" i="10" s="1"/>
  <c r="U520" i="10"/>
  <c r="Q679" i="10"/>
  <c r="U679" i="10" s="1"/>
  <c r="U5438" i="10"/>
  <c r="U3873" i="10"/>
  <c r="U5144" i="10"/>
  <c r="U3701" i="10"/>
  <c r="U4357" i="10"/>
  <c r="U3193" i="10"/>
  <c r="U4029" i="10"/>
  <c r="U3308" i="10"/>
  <c r="U3974" i="10"/>
  <c r="U5068" i="10"/>
  <c r="U4739" i="10"/>
  <c r="U4177" i="10"/>
  <c r="U1485" i="10"/>
  <c r="Q760" i="10"/>
  <c r="U760" i="10" s="1"/>
  <c r="Q816" i="10"/>
  <c r="U816" i="10" s="1"/>
  <c r="U4789" i="10"/>
  <c r="U4152" i="10"/>
  <c r="U817" i="10"/>
  <c r="Q157" i="10"/>
  <c r="U157" i="10" s="1"/>
  <c r="U5458" i="10"/>
  <c r="U5414" i="10"/>
  <c r="U3220" i="10"/>
  <c r="U5059" i="10"/>
  <c r="U4784" i="10"/>
  <c r="U5545" i="10"/>
  <c r="U5145" i="10"/>
  <c r="U275" i="10"/>
  <c r="U3485" i="10"/>
  <c r="U2030" i="10"/>
  <c r="U87" i="10"/>
  <c r="U5540" i="10"/>
  <c r="U206" i="10"/>
  <c r="U3017" i="10"/>
  <c r="U5383" i="10"/>
  <c r="U283" i="10"/>
  <c r="U5243" i="10"/>
  <c r="U2552" i="10"/>
  <c r="U3713" i="10"/>
  <c r="U4810" i="10"/>
  <c r="U3371" i="10"/>
  <c r="U3176" i="10"/>
  <c r="U172" i="10"/>
  <c r="U5557" i="10"/>
  <c r="U118" i="10"/>
  <c r="U3147" i="10"/>
  <c r="U116" i="10"/>
  <c r="U2555" i="10"/>
  <c r="U592" i="10"/>
  <c r="U3421" i="10"/>
  <c r="U3888" i="10"/>
  <c r="U864" i="10"/>
  <c r="U4447" i="10"/>
  <c r="U321" i="10"/>
  <c r="U5294" i="10"/>
  <c r="U1527" i="10"/>
  <c r="U5253" i="10"/>
  <c r="U5374" i="10"/>
  <c r="U4222" i="10"/>
  <c r="U3907" i="10"/>
  <c r="U4704" i="10"/>
  <c r="U2772" i="10"/>
  <c r="U3685" i="10"/>
  <c r="U3836" i="10"/>
  <c r="U917" i="10"/>
  <c r="U4823" i="10"/>
  <c r="U5015" i="10"/>
  <c r="U4695" i="10"/>
  <c r="U4696" i="10"/>
  <c r="U668" i="10"/>
  <c r="U4763" i="10"/>
  <c r="U5215" i="10"/>
  <c r="U851" i="10"/>
  <c r="U5114" i="10"/>
  <c r="U965" i="10"/>
  <c r="U2234" i="10"/>
  <c r="U5539" i="10"/>
  <c r="U894" i="10"/>
  <c r="U1407" i="10"/>
  <c r="U2303" i="10"/>
  <c r="Q1029" i="10"/>
  <c r="U1029" i="10" s="1"/>
  <c r="U1495" i="10"/>
  <c r="U770" i="10"/>
  <c r="U5330" i="10"/>
  <c r="U5224" i="10"/>
  <c r="U5313" i="10"/>
  <c r="U4358" i="10"/>
  <c r="U4158" i="10"/>
  <c r="U4030" i="10"/>
  <c r="U4186" i="10"/>
  <c r="U5095" i="10"/>
  <c r="U3643" i="10"/>
  <c r="U5147" i="10"/>
  <c r="U4952" i="10"/>
  <c r="U187" i="10"/>
  <c r="U1115" i="10"/>
  <c r="U5497" i="10"/>
  <c r="U3015" i="10"/>
  <c r="U5221" i="10"/>
  <c r="U5377" i="10"/>
  <c r="U4438" i="10"/>
  <c r="U262" i="10"/>
  <c r="U547" i="10"/>
  <c r="Q258" i="10"/>
  <c r="U258" i="10" s="1"/>
  <c r="U4760" i="10"/>
  <c r="U5063" i="10"/>
  <c r="U3443" i="10"/>
  <c r="U5507" i="10"/>
  <c r="U683" i="10"/>
  <c r="U456" i="10"/>
  <c r="U4325" i="10"/>
  <c r="U4085" i="10"/>
  <c r="Q594" i="10"/>
  <c r="U594" i="10" s="1"/>
  <c r="U5052" i="10"/>
  <c r="Q126" i="10"/>
  <c r="U126" i="10" s="1"/>
  <c r="U5250" i="10"/>
  <c r="U4319" i="10"/>
  <c r="U471" i="10"/>
  <c r="U5465" i="10"/>
  <c r="U5119" i="10"/>
  <c r="U1723" i="10"/>
  <c r="U4964" i="10"/>
  <c r="U975" i="10"/>
  <c r="U4036" i="10"/>
  <c r="U2459" i="10"/>
  <c r="U4089" i="10"/>
  <c r="U273" i="10"/>
  <c r="U4585" i="10"/>
  <c r="U4890" i="10"/>
  <c r="U4457" i="10"/>
  <c r="U4834" i="10"/>
  <c r="U3857" i="10"/>
  <c r="U5480" i="10"/>
  <c r="U832" i="10"/>
  <c r="U3970" i="10"/>
  <c r="U414" i="10"/>
  <c r="U3312" i="10"/>
  <c r="U63" i="10"/>
  <c r="U3295" i="10"/>
  <c r="U2566" i="10"/>
  <c r="U3108" i="10"/>
  <c r="U839" i="10"/>
  <c r="U2970" i="10"/>
  <c r="U5508" i="10"/>
  <c r="U3381" i="10"/>
  <c r="U935" i="10"/>
  <c r="U332" i="10"/>
  <c r="U3533" i="10"/>
  <c r="U2009" i="10"/>
  <c r="U5297" i="10"/>
  <c r="U5288" i="10"/>
  <c r="U401" i="10"/>
  <c r="U5070" i="10"/>
  <c r="U4725" i="10"/>
  <c r="U819" i="10"/>
  <c r="U4989" i="10"/>
  <c r="U785" i="10"/>
  <c r="U4388" i="10"/>
  <c r="U4347" i="10"/>
  <c r="U949" i="10"/>
  <c r="U1408" i="10"/>
  <c r="U2333" i="10"/>
  <c r="Q2275" i="10"/>
  <c r="U2275" i="10" s="1"/>
  <c r="Q1017" i="10"/>
  <c r="U1017" i="10" s="1"/>
  <c r="U789" i="10"/>
  <c r="U744" i="10"/>
  <c r="U563" i="10"/>
  <c r="U5395" i="10"/>
  <c r="U5161" i="10"/>
  <c r="U3537" i="10"/>
  <c r="U3573" i="10"/>
  <c r="U3409" i="10"/>
  <c r="U4038" i="10"/>
  <c r="U4337" i="10"/>
  <c r="U4078" i="10"/>
  <c r="U4709" i="10"/>
  <c r="U4316" i="10"/>
  <c r="U221" i="10"/>
  <c r="U1079" i="10"/>
  <c r="U163" i="10"/>
  <c r="U3451" i="10"/>
  <c r="U5256" i="10"/>
  <c r="U5573" i="10"/>
  <c r="U4374" i="10"/>
  <c r="Q295" i="10"/>
  <c r="U295" i="10" s="1"/>
  <c r="U1698" i="10"/>
  <c r="Q287" i="10"/>
  <c r="U287" i="10" s="1"/>
  <c r="U4962" i="10"/>
  <c r="U4869" i="10"/>
  <c r="U3117" i="10"/>
  <c r="U3603" i="10"/>
  <c r="U4099" i="10"/>
  <c r="U3717" i="10"/>
  <c r="U4500" i="10"/>
  <c r="U4899" i="10"/>
  <c r="U5538" i="10"/>
  <c r="U46" i="10"/>
  <c r="U751" i="10"/>
  <c r="U4377" i="10"/>
  <c r="U533" i="10"/>
  <c r="U15" i="10"/>
  <c r="U5505" i="10"/>
  <c r="U4872" i="10"/>
  <c r="U874" i="10"/>
  <c r="U4718" i="10"/>
  <c r="U3379" i="10"/>
  <c r="U3725" i="10"/>
  <c r="U2693" i="10"/>
  <c r="U870" i="10"/>
  <c r="U228" i="10"/>
  <c r="U3615" i="10"/>
  <c r="U4773" i="10"/>
  <c r="U4313" i="10"/>
  <c r="U4797" i="10"/>
  <c r="U4454" i="10"/>
  <c r="U4411" i="10"/>
  <c r="U762" i="10"/>
  <c r="U4016" i="10"/>
  <c r="U382" i="10"/>
  <c r="U1161" i="10"/>
  <c r="U27" i="10"/>
  <c r="U5570" i="10"/>
  <c r="U4076" i="10"/>
  <c r="U5213" i="10"/>
  <c r="U3927" i="10"/>
  <c r="U3321" i="10"/>
  <c r="U4985" i="10"/>
  <c r="U1531" i="10"/>
  <c r="U1819" i="10"/>
  <c r="U5349" i="10"/>
  <c r="U495" i="10"/>
  <c r="Q723" i="10"/>
  <c r="U723" i="10" s="1"/>
  <c r="U3771" i="10"/>
  <c r="U3902" i="10"/>
  <c r="U1883" i="10"/>
  <c r="U3696" i="10"/>
  <c r="U4274" i="10"/>
  <c r="U755" i="10"/>
  <c r="U2622" i="10"/>
  <c r="U3630" i="10"/>
  <c r="U4946" i="10"/>
  <c r="U5265" i="10"/>
  <c r="U428" i="10"/>
  <c r="U1409" i="10"/>
  <c r="U2334" i="10"/>
  <c r="Q2274" i="10"/>
  <c r="U2274" i="10" s="1"/>
  <c r="U1035" i="10"/>
  <c r="U648" i="10"/>
  <c r="U144" i="10"/>
  <c r="U2184" i="10"/>
  <c r="U4455" i="10"/>
  <c r="U4092" i="10"/>
  <c r="U4479" i="10"/>
  <c r="U4135" i="10"/>
  <c r="U5096" i="10"/>
  <c r="U4146" i="10"/>
  <c r="U3085" i="10"/>
  <c r="U5025" i="10"/>
  <c r="U253" i="10"/>
  <c r="U750" i="10"/>
  <c r="Q108" i="10"/>
  <c r="U108" i="10" s="1"/>
  <c r="U1092" i="10"/>
  <c r="U536" i="10"/>
  <c r="U490" i="10"/>
  <c r="U3271" i="10"/>
  <c r="U599" i="10"/>
  <c r="Q632" i="10"/>
  <c r="U632" i="10" s="1"/>
  <c r="U1091" i="10"/>
  <c r="U224" i="10"/>
  <c r="U4004" i="10"/>
  <c r="U4630" i="10"/>
  <c r="U4626" i="10"/>
  <c r="U4648" i="10"/>
  <c r="U4721" i="10"/>
  <c r="U607" i="10"/>
  <c r="U5078" i="10"/>
  <c r="U5535" i="10"/>
  <c r="U4414" i="10"/>
  <c r="U4132" i="10"/>
  <c r="U1690" i="10"/>
  <c r="U5429" i="10"/>
  <c r="U3972" i="10"/>
  <c r="U780" i="10"/>
  <c r="U4125" i="10"/>
  <c r="U850" i="10"/>
  <c r="U3181" i="10"/>
  <c r="U4128" i="10"/>
  <c r="U3441" i="10"/>
  <c r="U3945" i="10"/>
  <c r="U514" i="10"/>
  <c r="U3841" i="10"/>
  <c r="U4759" i="10"/>
  <c r="U4328" i="10"/>
  <c r="U936" i="10"/>
  <c r="U741" i="10"/>
  <c r="U3878" i="10"/>
  <c r="U2851" i="10"/>
  <c r="U620" i="10"/>
  <c r="U704" i="10"/>
  <c r="U3675" i="10"/>
  <c r="U601" i="10"/>
  <c r="U4833" i="10"/>
  <c r="U244" i="10"/>
  <c r="U4061" i="10"/>
  <c r="U2470" i="10"/>
  <c r="U2463" i="10"/>
  <c r="U4545" i="10"/>
  <c r="U5074" i="10"/>
  <c r="U614" i="10"/>
  <c r="U4955" i="10"/>
  <c r="U4777" i="10"/>
  <c r="U16" i="10"/>
  <c r="U5188" i="10"/>
  <c r="Q622" i="10"/>
  <c r="U622" i="10" s="1"/>
  <c r="U1643" i="10"/>
  <c r="U1635" i="10"/>
  <c r="U3931" i="10"/>
  <c r="U232" i="10"/>
  <c r="U3660" i="10"/>
  <c r="U3671" i="10"/>
  <c r="U5191" i="10"/>
  <c r="Q911" i="10"/>
  <c r="U911" i="10" s="1"/>
  <c r="U4887" i="10"/>
  <c r="U4052" i="10"/>
  <c r="U5391" i="10"/>
  <c r="U1410" i="10"/>
  <c r="U2335" i="10"/>
  <c r="Q2273" i="10"/>
  <c r="U2273" i="10" s="1"/>
  <c r="U5529" i="10"/>
  <c r="U4847" i="10"/>
  <c r="U3299" i="10"/>
  <c r="U162" i="10"/>
  <c r="U4007" i="10"/>
  <c r="U4607" i="10"/>
  <c r="U4384" i="10"/>
  <c r="U4507" i="10"/>
  <c r="U5430" i="10"/>
  <c r="U4338" i="10"/>
  <c r="U5493" i="10"/>
  <c r="U602" i="10"/>
  <c r="U3163" i="10"/>
  <c r="U17" i="10"/>
  <c r="U67" i="10"/>
  <c r="U223" i="10"/>
  <c r="Q631" i="10"/>
  <c r="U631" i="10" s="1"/>
  <c r="O7" i="10"/>
  <c r="U973" i="10"/>
  <c r="U4291" i="10"/>
  <c r="U484" i="10"/>
  <c r="U956" i="10"/>
  <c r="Q675" i="10"/>
  <c r="U675" i="10" s="1"/>
  <c r="U418" i="10"/>
  <c r="U5064" i="10"/>
  <c r="U4480" i="10"/>
  <c r="U4215" i="10"/>
  <c r="U4482" i="10"/>
  <c r="U5160" i="10"/>
  <c r="U1012" i="10"/>
  <c r="U4699" i="10"/>
  <c r="U3956" i="10"/>
  <c r="U3686" i="10"/>
  <c r="U3955" i="10"/>
  <c r="Q944" i="10"/>
  <c r="U944" i="10" s="1"/>
  <c r="U3021" i="10"/>
  <c r="U4750" i="10"/>
  <c r="U554" i="10"/>
  <c r="U5554" i="10"/>
  <c r="U3797" i="10"/>
  <c r="U3601" i="10"/>
  <c r="U5306" i="10"/>
  <c r="U4552" i="10"/>
  <c r="U4893" i="10"/>
  <c r="Q893" i="10"/>
  <c r="U893" i="10" s="1"/>
  <c r="U2793" i="10"/>
  <c r="U5351" i="10"/>
  <c r="U3832" i="10"/>
  <c r="U4145" i="10"/>
  <c r="U4961" i="10"/>
  <c r="U2471" i="10"/>
  <c r="U3267" i="10"/>
  <c r="U5216" i="10"/>
  <c r="U5566" i="10"/>
  <c r="U3932" i="10"/>
  <c r="U254" i="10"/>
  <c r="U4942" i="10"/>
  <c r="U10" i="10"/>
  <c r="U564" i="10"/>
  <c r="U708" i="10"/>
  <c r="U4292" i="10"/>
  <c r="U743" i="10"/>
  <c r="U4451" i="10"/>
  <c r="U4860" i="10"/>
  <c r="U4221" i="10"/>
  <c r="U3447" i="10"/>
  <c r="U478" i="10"/>
  <c r="U5203" i="10"/>
  <c r="O11" i="10"/>
  <c r="U4322" i="10"/>
  <c r="U5127" i="10"/>
  <c r="U3465" i="10"/>
  <c r="U5121" i="10"/>
  <c r="U5457" i="10"/>
  <c r="U4470" i="10"/>
  <c r="U4151" i="10"/>
  <c r="U314" i="10"/>
  <c r="U4442" i="10"/>
  <c r="U3736" i="10"/>
  <c r="U2667" i="10"/>
  <c r="U1411" i="10"/>
  <c r="U2336" i="10"/>
  <c r="Q2242" i="10"/>
  <c r="U2242" i="10" s="1"/>
  <c r="U1831" i="10"/>
  <c r="U3140" i="10"/>
  <c r="U386" i="10"/>
  <c r="U902" i="10"/>
  <c r="U5179" i="10"/>
  <c r="U4093" i="10"/>
  <c r="U5126" i="10"/>
  <c r="U4136" i="10"/>
  <c r="U3774" i="10"/>
  <c r="U5076" i="10"/>
  <c r="U5261" i="10"/>
  <c r="U4737" i="10"/>
  <c r="U4244" i="10"/>
  <c r="U804" i="10"/>
  <c r="Q503" i="10"/>
  <c r="U503" i="10" s="1"/>
  <c r="Q243" i="10"/>
  <c r="U243" i="10" s="1"/>
  <c r="Q693" i="10"/>
  <c r="U693" i="10" s="1"/>
  <c r="U5519" i="10"/>
  <c r="U4529" i="10"/>
  <c r="U5220" i="10"/>
  <c r="U1013" i="10"/>
  <c r="U427" i="10"/>
  <c r="U4386" i="10"/>
  <c r="U5208" i="10"/>
  <c r="U4967" i="10"/>
  <c r="U1261" i="10"/>
  <c r="U5312" i="10"/>
  <c r="U5072" i="10"/>
  <c r="U4664" i="10"/>
  <c r="U605" i="10"/>
  <c r="Q644" i="10"/>
  <c r="U644" i="10" s="1"/>
  <c r="U4674" i="10"/>
  <c r="U3645" i="10"/>
  <c r="U4199" i="10"/>
  <c r="U943" i="10"/>
  <c r="U5110" i="10"/>
  <c r="U4966" i="10"/>
  <c r="U775" i="10"/>
  <c r="U2864" i="10"/>
  <c r="U3904" i="10"/>
  <c r="U4194" i="10"/>
  <c r="U3519" i="10"/>
  <c r="U4056" i="10"/>
  <c r="U913" i="10"/>
  <c r="Q892" i="10"/>
  <c r="U892" i="10" s="1"/>
  <c r="U4100" i="10"/>
  <c r="U3504" i="10"/>
  <c r="Q546" i="10"/>
  <c r="U546" i="10" s="1"/>
  <c r="U3766" i="10"/>
  <c r="U4139" i="10"/>
  <c r="U1691" i="10"/>
  <c r="U3566" i="10"/>
  <c r="U79" i="10"/>
  <c r="U3995" i="10"/>
  <c r="U968" i="10"/>
  <c r="U5477" i="10"/>
  <c r="U5561" i="10"/>
  <c r="U3839" i="10"/>
  <c r="U2075" i="10"/>
  <c r="U906" i="10"/>
  <c r="U4115" i="10"/>
  <c r="U4662" i="10"/>
  <c r="U3481" i="10"/>
  <c r="U137" i="10"/>
  <c r="U5097" i="10"/>
  <c r="U3740" i="10"/>
  <c r="U922" i="10"/>
  <c r="U4923" i="10"/>
  <c r="Q720" i="10"/>
  <c r="U720" i="10" s="1"/>
  <c r="U4880" i="10"/>
  <c r="U4087" i="10"/>
  <c r="U3689" i="10"/>
  <c r="U3887" i="10"/>
  <c r="U5135" i="10"/>
  <c r="U5141" i="10"/>
  <c r="U5370" i="10"/>
  <c r="U173" i="10"/>
  <c r="U5503" i="10"/>
  <c r="U5065" i="10"/>
  <c r="U825" i="10"/>
  <c r="U4034" i="10"/>
  <c r="U1400" i="10"/>
  <c r="U2276" i="10"/>
  <c r="Q2241" i="10"/>
  <c r="U2241" i="10" s="1"/>
  <c r="U5034" i="10"/>
  <c r="U4986" i="10"/>
  <c r="U952" i="10"/>
  <c r="U31" i="10"/>
  <c r="U3936" i="10"/>
  <c r="U5408" i="10"/>
  <c r="U5549" i="10"/>
  <c r="U4862" i="10"/>
  <c r="U4694" i="10"/>
  <c r="U5487" i="10"/>
  <c r="U5380" i="10"/>
  <c r="U3568" i="10"/>
  <c r="U4751" i="10"/>
  <c r="U3244" i="10"/>
  <c r="Q759" i="10"/>
  <c r="U759" i="10" s="1"/>
  <c r="Q158" i="10"/>
  <c r="U158" i="10" s="1"/>
  <c r="U68" i="10"/>
  <c r="U240" i="10"/>
  <c r="U3962" i="10"/>
  <c r="U4232" i="10"/>
  <c r="U4467" i="10"/>
  <c r="U4399" i="10"/>
  <c r="U1074" i="10"/>
  <c r="U3539" i="10"/>
  <c r="U4905" i="10"/>
  <c r="Q391" i="10"/>
  <c r="U391" i="10" s="1"/>
  <c r="U4898" i="10"/>
  <c r="U5509" i="10"/>
  <c r="U201" i="10"/>
  <c r="U375" i="10"/>
  <c r="U3373" i="10"/>
  <c r="U5367" i="10"/>
  <c r="Q942" i="10"/>
  <c r="U942" i="10" s="1"/>
  <c r="U4982" i="10"/>
  <c r="U4413" i="10"/>
  <c r="U13" i="10"/>
  <c r="U4369" i="10"/>
  <c r="U3525" i="10"/>
  <c r="U136" i="10"/>
  <c r="U5036" i="10"/>
  <c r="U4592" i="10"/>
  <c r="U3700" i="10"/>
  <c r="U3427" i="10"/>
  <c r="U4866" i="10"/>
  <c r="Q909" i="10"/>
  <c r="U909" i="10" s="1"/>
  <c r="U3923" i="10"/>
  <c r="U827" i="10"/>
  <c r="U3248" i="10"/>
  <c r="U3920" i="10"/>
  <c r="U4544" i="10"/>
  <c r="U4838" i="10"/>
  <c r="U5046" i="10"/>
  <c r="U3808" i="10"/>
  <c r="U937" i="10"/>
  <c r="U4769" i="10"/>
  <c r="U4698" i="10"/>
  <c r="U4475" i="10"/>
  <c r="U734" i="10"/>
  <c r="U4022" i="10"/>
  <c r="U4009" i="10"/>
  <c r="U4360" i="10"/>
  <c r="U3968" i="10"/>
  <c r="U4487" i="10"/>
  <c r="U5279" i="10"/>
  <c r="U5212" i="10"/>
  <c r="U1050" i="10"/>
  <c r="U312" i="10"/>
  <c r="U3996" i="10"/>
  <c r="U531" i="10"/>
  <c r="U2700" i="10"/>
  <c r="U4105" i="10"/>
  <c r="U989" i="10"/>
  <c r="U3353" i="10"/>
  <c r="U4636" i="10"/>
  <c r="U3049" i="10"/>
  <c r="U3901" i="10"/>
  <c r="U3145" i="10"/>
  <c r="U3241" i="10"/>
  <c r="U4785" i="10"/>
  <c r="U472" i="10"/>
  <c r="U4208" i="10"/>
  <c r="U1399" i="10"/>
  <c r="U2278" i="10"/>
  <c r="Q2240" i="10"/>
  <c r="U2240" i="10" s="1"/>
  <c r="U5156" i="10"/>
  <c r="U2084" i="10"/>
  <c r="U562" i="10"/>
  <c r="U4017" i="10"/>
  <c r="U551" i="10"/>
  <c r="U5223" i="10"/>
  <c r="U5310" i="10"/>
  <c r="U4963" i="10"/>
  <c r="U4958" i="10"/>
  <c r="U409" i="10"/>
  <c r="U4659" i="10"/>
  <c r="U5343" i="10"/>
  <c r="U207" i="10"/>
  <c r="U441" i="10"/>
  <c r="U988" i="10"/>
  <c r="U1020" i="10"/>
  <c r="U239" i="10"/>
  <c r="Q192" i="10"/>
  <c r="U192" i="10" s="1"/>
  <c r="U5024" i="10"/>
  <c r="U652" i="10"/>
  <c r="U44" i="10"/>
  <c r="U4717" i="10"/>
  <c r="U1082" i="10"/>
  <c r="U3928" i="10"/>
  <c r="U5246" i="10"/>
  <c r="U5134" i="10"/>
  <c r="U4921" i="10"/>
  <c r="U3240" i="10"/>
  <c r="U3874" i="10"/>
  <c r="U1045" i="10"/>
  <c r="U2965" i="10"/>
  <c r="U3886" i="10"/>
  <c r="U3985" i="10"/>
  <c r="U774" i="10"/>
  <c r="U153" i="10"/>
  <c r="U3075" i="10"/>
  <c r="U4641" i="10"/>
  <c r="U128" i="10"/>
  <c r="U4929" i="10"/>
  <c r="U122" i="10"/>
  <c r="U5146" i="10"/>
  <c r="U5242" i="10"/>
  <c r="U4503" i="10"/>
  <c r="U3608" i="10"/>
  <c r="U5142" i="10"/>
  <c r="U5333" i="10"/>
  <c r="U735" i="10"/>
  <c r="U1973" i="10"/>
  <c r="U337" i="10"/>
  <c r="U3187" i="10"/>
  <c r="U914" i="10"/>
  <c r="U2860" i="10"/>
  <c r="U2535" i="10"/>
  <c r="U4354" i="10"/>
  <c r="U4878" i="10"/>
  <c r="U488" i="10"/>
  <c r="U742" i="10"/>
  <c r="Q886" i="10"/>
  <c r="U886" i="10" s="1"/>
  <c r="U5415" i="10"/>
  <c r="U4756" i="10"/>
  <c r="U3864" i="10"/>
  <c r="U5326" i="10"/>
  <c r="U4246" i="10"/>
  <c r="U5238" i="10"/>
  <c r="U907" i="10"/>
  <c r="U5108" i="10"/>
  <c r="U280" i="10"/>
  <c r="U5506" i="10"/>
  <c r="U685" i="10"/>
  <c r="U4079" i="10"/>
  <c r="U3155" i="10"/>
  <c r="Q517" i="10"/>
  <c r="U517" i="10" s="1"/>
  <c r="U1947" i="10"/>
  <c r="U4840" i="10"/>
  <c r="U2432" i="10"/>
  <c r="U404" i="10"/>
  <c r="U5227" i="10"/>
  <c r="U613" i="10"/>
  <c r="U3659" i="10"/>
  <c r="U883" i="10"/>
  <c r="U5555" i="10"/>
  <c r="U1401" i="10"/>
  <c r="U2291" i="10"/>
  <c r="Q2203" i="10"/>
  <c r="U2203" i="10" s="1"/>
  <c r="U4713" i="10"/>
  <c r="U5586" i="10"/>
  <c r="U23" i="10"/>
  <c r="U5040" i="10"/>
  <c r="U3875" i="10"/>
  <c r="U5165" i="10"/>
  <c r="U4932" i="10"/>
  <c r="U4440" i="10"/>
  <c r="U1435" i="10"/>
  <c r="U2523" i="10"/>
  <c r="U4418" i="10"/>
  <c r="Q141" i="10"/>
  <c r="U141" i="10" s="1"/>
  <c r="U366" i="10"/>
  <c r="U1323" i="10"/>
  <c r="U2961" i="10"/>
  <c r="U3245" i="10"/>
  <c r="Q580" i="10"/>
  <c r="U580" i="10" s="1"/>
  <c r="Q678" i="10"/>
  <c r="U678" i="10" s="1"/>
  <c r="U3922" i="10"/>
  <c r="U3824" i="10"/>
  <c r="U2464" i="10"/>
  <c r="U182" i="10"/>
  <c r="Q721" i="10"/>
  <c r="U721" i="10" s="1"/>
  <c r="U5187" i="10"/>
  <c r="U1692" i="10"/>
  <c r="U480" i="10"/>
  <c r="U4868" i="10"/>
  <c r="U5366" i="10"/>
  <c r="U5450" i="10"/>
  <c r="U436" i="10"/>
  <c r="U5116" i="10"/>
  <c r="U3536" i="10"/>
  <c r="U4832" i="10"/>
  <c r="U3773" i="10"/>
  <c r="U139" i="10"/>
  <c r="U4786" i="10"/>
  <c r="U5051" i="10"/>
  <c r="U921" i="10"/>
  <c r="U3599" i="10"/>
  <c r="U86" i="10"/>
  <c r="U4920" i="10"/>
  <c r="U2701" i="10"/>
  <c r="U5317" i="10"/>
  <c r="U3940" i="10"/>
  <c r="U4477" i="10"/>
  <c r="U3934" i="10"/>
  <c r="U212" i="10"/>
  <c r="U4329" i="10"/>
  <c r="U692" i="10"/>
  <c r="U4150" i="10"/>
  <c r="U3866" i="10"/>
  <c r="U420" i="10"/>
  <c r="U3769" i="10"/>
  <c r="U4912" i="10"/>
  <c r="U5397" i="10"/>
  <c r="U3056" i="10"/>
  <c r="U3739" i="10"/>
  <c r="U61" i="10"/>
  <c r="U3998" i="10"/>
  <c r="U1559" i="10"/>
  <c r="U4229" i="10"/>
  <c r="U2401" i="10"/>
  <c r="U5534" i="10"/>
  <c r="U4536" i="10"/>
  <c r="U4323" i="10"/>
  <c r="U4032" i="10"/>
  <c r="U210" i="10"/>
  <c r="U4415" i="10"/>
  <c r="U502" i="10"/>
  <c r="U3184" i="10"/>
  <c r="U37" i="10"/>
  <c r="U226" i="10"/>
  <c r="U2988" i="10"/>
  <c r="U299" i="10"/>
  <c r="U4161" i="10"/>
  <c r="U5030" i="10"/>
  <c r="U3899" i="10"/>
  <c r="U5536" i="10"/>
  <c r="U4553" i="10"/>
  <c r="U528" i="10"/>
  <c r="U4057" i="10"/>
  <c r="U2322" i="10"/>
  <c r="U2280" i="10"/>
  <c r="Q2202" i="10"/>
  <c r="U2202" i="10" s="1"/>
  <c r="U1839" i="10"/>
  <c r="Q745" i="10"/>
  <c r="U745" i="10" s="1"/>
  <c r="U5446" i="10"/>
  <c r="U806" i="10"/>
  <c r="U669" i="10"/>
  <c r="U340" i="10"/>
  <c r="U4933" i="10"/>
  <c r="U5464" i="10"/>
  <c r="U5368" i="10"/>
  <c r="U4432" i="10"/>
  <c r="U4499" i="10"/>
  <c r="U604" i="10"/>
  <c r="U1096" i="10"/>
  <c r="Q727" i="10"/>
  <c r="U727" i="10" s="1"/>
  <c r="U4679" i="10"/>
  <c r="U1069" i="10"/>
  <c r="U753" i="10"/>
  <c r="U5422" i="10"/>
  <c r="Q722" i="10"/>
  <c r="U722" i="10" s="1"/>
  <c r="U5275" i="10"/>
  <c r="U4504" i="10"/>
  <c r="U5284" i="10"/>
  <c r="U537" i="10"/>
  <c r="U393" i="10"/>
  <c r="U5123" i="10"/>
  <c r="U345" i="10"/>
  <c r="U513" i="10"/>
  <c r="U3567" i="10"/>
  <c r="U2887" i="10"/>
  <c r="U4072" i="10"/>
  <c r="U658" i="10"/>
  <c r="U110" i="10"/>
  <c r="U3667" i="10"/>
  <c r="U3258" i="10"/>
  <c r="U5005" i="10"/>
  <c r="U4582" i="10"/>
  <c r="U4355" i="10"/>
  <c r="U4305" i="10"/>
  <c r="U434" i="10"/>
  <c r="U5532" i="10"/>
  <c r="U940" i="10"/>
  <c r="U4693" i="10"/>
  <c r="U4670" i="10"/>
  <c r="U3767" i="10"/>
  <c r="U5100" i="10"/>
  <c r="U558" i="10"/>
  <c r="U1662" i="10"/>
  <c r="U608" i="10"/>
  <c r="U5273" i="10"/>
  <c r="U47" i="10"/>
  <c r="U5298" i="10"/>
  <c r="U3743" i="10"/>
  <c r="U4576" i="10"/>
  <c r="U4901" i="10"/>
  <c r="U3327" i="10"/>
  <c r="U3243" i="10"/>
  <c r="U4271" i="10"/>
  <c r="U4845" i="10"/>
  <c r="U29" i="10"/>
  <c r="U2659" i="10"/>
  <c r="U698" i="10"/>
  <c r="U4404" i="10"/>
  <c r="U2114" i="10"/>
  <c r="U5245" i="10"/>
  <c r="U4770" i="10"/>
  <c r="U3284" i="10"/>
  <c r="U739" i="10"/>
  <c r="U184" i="10"/>
  <c r="U2255" i="10"/>
  <c r="U453" i="10"/>
  <c r="U4564" i="10"/>
  <c r="U4829" i="10"/>
  <c r="U159" i="10"/>
  <c r="U5474" i="10"/>
  <c r="U4678" i="10"/>
  <c r="U4397" i="10"/>
  <c r="U3862" i="10"/>
  <c r="U14" i="10"/>
  <c r="U4075" i="10"/>
  <c r="U3783" i="10"/>
  <c r="U496" i="10"/>
  <c r="U5406" i="10"/>
  <c r="U2329" i="10"/>
  <c r="U2283" i="10"/>
  <c r="Q2237" i="10"/>
  <c r="U2237" i="10" s="1"/>
  <c r="U1835" i="10"/>
  <c r="U4889" i="10"/>
  <c r="U5137" i="10"/>
  <c r="U2551" i="10"/>
  <c r="U5301" i="10"/>
  <c r="U1053" i="10"/>
  <c r="U3731" i="10"/>
  <c r="U4826" i="10"/>
  <c r="U805" i="10"/>
  <c r="U4611" i="10"/>
  <c r="U5176" i="10"/>
  <c r="U3881" i="10"/>
  <c r="U22" i="10"/>
  <c r="Q621" i="10"/>
  <c r="U621" i="10" s="1"/>
  <c r="U980" i="10"/>
  <c r="U553" i="10"/>
  <c r="U4617" i="10"/>
  <c r="U4976" i="10"/>
  <c r="Q724" i="10"/>
  <c r="U724" i="10" s="1"/>
  <c r="U3139" i="10"/>
  <c r="U3393" i="10"/>
  <c r="U3257" i="10"/>
  <c r="U690" i="10"/>
  <c r="Q809" i="10"/>
  <c r="U809" i="10" s="1"/>
  <c r="U5028" i="10"/>
  <c r="U369" i="10"/>
  <c r="U3584" i="10"/>
  <c r="Q581" i="10"/>
  <c r="U581" i="10" s="1"/>
  <c r="U4661" i="10"/>
  <c r="U5011" i="10"/>
  <c r="U5373" i="10"/>
  <c r="U4196" i="10"/>
  <c r="U374" i="10"/>
  <c r="U4583" i="10"/>
  <c r="U5062" i="10"/>
  <c r="U352" i="10"/>
  <c r="U3347" i="10"/>
  <c r="U3500" i="10"/>
  <c r="U3503" i="10"/>
  <c r="U3493" i="10"/>
  <c r="U682" i="10"/>
  <c r="U5148" i="10"/>
  <c r="U4871" i="10"/>
  <c r="U777" i="10"/>
  <c r="U5247" i="10"/>
  <c r="U4484" i="10"/>
  <c r="U5091" i="10"/>
  <c r="U3953" i="10"/>
  <c r="U325" i="10"/>
  <c r="U4981" i="10"/>
  <c r="U4346" i="10"/>
  <c r="U964" i="10"/>
  <c r="U2170" i="10"/>
  <c r="U2210" i="10"/>
  <c r="U3607" i="10"/>
  <c r="U587" i="10"/>
  <c r="U4453" i="10"/>
  <c r="U5352" i="10"/>
  <c r="U216" i="10"/>
  <c r="U3807" i="10"/>
  <c r="U666" i="10"/>
  <c r="U5585" i="10"/>
  <c r="U663" i="10"/>
  <c r="U2495" i="10"/>
  <c r="U454" i="10"/>
  <c r="U4359" i="10"/>
  <c r="U4691" i="10"/>
  <c r="U4712" i="10"/>
  <c r="U5588" i="10"/>
  <c r="U4380" i="10"/>
  <c r="U4201" i="10"/>
  <c r="U5109" i="10"/>
  <c r="U530" i="10"/>
  <c r="U2619" i="10"/>
  <c r="U1724" i="10"/>
  <c r="U5089" i="10"/>
  <c r="U5197" i="10"/>
  <c r="U444" i="10"/>
  <c r="U2011" i="10"/>
  <c r="U4155" i="10"/>
  <c r="U518" i="10"/>
  <c r="U4988" i="10"/>
  <c r="U2306" i="10"/>
  <c r="U2285" i="10"/>
  <c r="Q2236" i="10"/>
  <c r="U2236" i="10" s="1"/>
  <c r="U657" i="10"/>
  <c r="U5041" i="10"/>
  <c r="U5325" i="10"/>
  <c r="U5082" i="10"/>
  <c r="U1331" i="10"/>
  <c r="U4606" i="10"/>
  <c r="Q807" i="10"/>
  <c r="U807" i="10" s="1"/>
  <c r="U2823" i="10"/>
  <c r="U389" i="10"/>
  <c r="U815" i="10"/>
  <c r="Q84" i="10"/>
  <c r="U84" i="10" s="1"/>
  <c r="U697" i="10"/>
  <c r="Q628" i="10"/>
  <c r="U628" i="10" s="1"/>
  <c r="U900" i="10"/>
  <c r="U4567" i="10"/>
  <c r="U3227" i="10"/>
  <c r="U847" i="10"/>
  <c r="Q142" i="10"/>
  <c r="U142" i="10" s="1"/>
  <c r="U307" i="10"/>
  <c r="U1884" i="10"/>
  <c r="U2928" i="10"/>
  <c r="U875" i="10"/>
  <c r="U194" i="10"/>
  <c r="U5390" i="10"/>
  <c r="U124" i="10"/>
  <c r="U4575" i="10"/>
  <c r="Q83" i="10"/>
  <c r="U83" i="10" s="1"/>
  <c r="U4284" i="10"/>
  <c r="U4425" i="10"/>
  <c r="U3484" i="10"/>
  <c r="U4019" i="10"/>
  <c r="U132" i="10"/>
  <c r="U3487" i="10"/>
  <c r="U3894" i="10"/>
  <c r="U154" i="10"/>
  <c r="U3195" i="10"/>
  <c r="U4489" i="10"/>
  <c r="U4446" i="10"/>
  <c r="U586" i="10"/>
  <c r="U871" i="10"/>
  <c r="U5490" i="10"/>
  <c r="U3527" i="10"/>
  <c r="U4226" i="10"/>
  <c r="U5000" i="10"/>
  <c r="U4371" i="10"/>
  <c r="U4466" i="10"/>
  <c r="U897" i="10"/>
  <c r="U5376" i="10"/>
  <c r="U5530" i="10"/>
  <c r="U2947" i="10"/>
  <c r="U5071" i="10"/>
  <c r="U3457" i="10"/>
  <c r="U3930" i="10"/>
  <c r="U4421" i="10"/>
  <c r="U4192" i="10"/>
  <c r="U4628" i="10"/>
  <c r="U4090" i="10"/>
  <c r="U639" i="10"/>
  <c r="U2267" i="10"/>
  <c r="U498" i="10"/>
  <c r="U5084" i="10"/>
  <c r="U740" i="10"/>
  <c r="U4189" i="10"/>
  <c r="U3691" i="10"/>
  <c r="U3019" i="10"/>
  <c r="U4063" i="10"/>
  <c r="U4216" i="10"/>
  <c r="U5113" i="10"/>
  <c r="U765" i="10"/>
  <c r="U4220" i="10"/>
  <c r="U4790" i="10"/>
  <c r="U327" i="10"/>
  <c r="U876" i="10"/>
  <c r="U1039" i="10"/>
  <c r="U4875" i="10"/>
  <c r="U5017" i="10"/>
  <c r="Q838" i="10"/>
  <c r="U838" i="10" s="1"/>
  <c r="U2832" i="10"/>
  <c r="U4742" i="10"/>
  <c r="U368" i="10"/>
  <c r="U468" i="10"/>
  <c r="U2287" i="10"/>
  <c r="U2281" i="10"/>
  <c r="Q2235" i="10"/>
  <c r="U2235" i="10" s="1"/>
  <c r="U4599" i="10"/>
  <c r="U4979" i="10"/>
  <c r="U5347" i="10"/>
  <c r="U1977" i="10"/>
  <c r="Q812" i="10"/>
  <c r="U812" i="10" s="1"/>
  <c r="U5050" i="10"/>
  <c r="F7" i="10"/>
  <c r="U5334" i="10"/>
  <c r="U843" i="10"/>
  <c r="U363" i="10"/>
  <c r="Q763" i="10"/>
  <c r="U763" i="10" s="1"/>
  <c r="Q357" i="10"/>
  <c r="U357" i="10" s="1"/>
  <c r="U849" i="10"/>
  <c r="U5479" i="10"/>
  <c r="U1376" i="10"/>
  <c r="U637" i="10"/>
  <c r="U3549" i="10"/>
  <c r="Q195" i="10"/>
  <c r="U195" i="10" s="1"/>
  <c r="U3488" i="10"/>
  <c r="U5092" i="10"/>
  <c r="U2715" i="10"/>
  <c r="U7" i="10"/>
  <c r="U731" i="10"/>
  <c r="U5302" i="10"/>
  <c r="U4767" i="10"/>
  <c r="U256" i="10"/>
  <c r="U3310" i="10"/>
  <c r="U452" i="10"/>
  <c r="U4023" i="10"/>
  <c r="U829" i="10"/>
  <c r="U5286" i="10"/>
  <c r="Q576" i="10"/>
  <c r="U576" i="10" s="1"/>
  <c r="U5262" i="10"/>
  <c r="U963" i="10"/>
  <c r="U508" i="10"/>
  <c r="U4217" i="10"/>
  <c r="U4844" i="10"/>
  <c r="U2661" i="10"/>
  <c r="U5026" i="10"/>
  <c r="U451" i="10"/>
  <c r="U4153" i="10"/>
  <c r="U4573" i="10"/>
  <c r="U4688" i="10"/>
  <c r="U4558" i="10"/>
  <c r="U3468" i="10"/>
  <c r="U5327" i="10"/>
  <c r="U189" i="10"/>
  <c r="U5419" i="10"/>
  <c r="U4517" i="10"/>
  <c r="U4311" i="10"/>
  <c r="U3571" i="10"/>
  <c r="U1942" i="10"/>
  <c r="U4837" i="10"/>
  <c r="U4596" i="10"/>
  <c r="U845" i="10"/>
  <c r="U3263" i="10"/>
  <c r="U394" i="10"/>
  <c r="U5394" i="10"/>
  <c r="U5478" i="10"/>
  <c r="U263" i="10"/>
  <c r="U339" i="10"/>
  <c r="U5122" i="10"/>
  <c r="U2727" i="10"/>
  <c r="U3459" i="10"/>
  <c r="U4228" i="10"/>
  <c r="U5299" i="10"/>
  <c r="U1059" i="10"/>
  <c r="U4990" i="10"/>
  <c r="U863" i="10"/>
  <c r="U5182" i="10"/>
  <c r="U5120" i="10"/>
  <c r="U3871" i="10"/>
  <c r="U5219" i="10"/>
  <c r="U641" i="10"/>
  <c r="U3183" i="10"/>
  <c r="U1051" i="10"/>
  <c r="U417" i="10"/>
  <c r="U4993" i="10"/>
  <c r="U166" i="10"/>
  <c r="U3548" i="10"/>
  <c r="U5094" i="10"/>
  <c r="U413" i="10"/>
  <c r="U4000" i="10"/>
  <c r="U4518" i="10"/>
  <c r="U3035" i="10"/>
  <c r="U445" i="10"/>
  <c r="U5472" i="10"/>
  <c r="U4741" i="10"/>
  <c r="U4643" i="10"/>
  <c r="U4068" i="10"/>
  <c r="U3840" i="10"/>
  <c r="U2866" i="10"/>
  <c r="U4174" i="10"/>
  <c r="U4541" i="10"/>
  <c r="U1870" i="10"/>
  <c r="U1132" i="10"/>
  <c r="U4502" i="10"/>
  <c r="U3478" i="10"/>
  <c r="U1804" i="10"/>
  <c r="U2410" i="10"/>
  <c r="U2199" i="10"/>
  <c r="U4645" i="10"/>
  <c r="U3714" i="10"/>
  <c r="U5111" i="10"/>
  <c r="U2724" i="10"/>
  <c r="U782" i="10"/>
  <c r="U3594" i="10"/>
  <c r="U1661" i="10"/>
  <c r="U2173" i="10"/>
  <c r="U2488" i="10"/>
  <c r="U1825" i="10"/>
  <c r="U5577" i="10"/>
  <c r="U3698" i="10"/>
  <c r="U3398" i="10"/>
  <c r="U2632" i="10"/>
  <c r="U230" i="10"/>
  <c r="U2381" i="10"/>
  <c r="U3687" i="10"/>
  <c r="U2986" i="10"/>
  <c r="U3000" i="10"/>
  <c r="U4783" i="10"/>
  <c r="U3250" i="10"/>
  <c r="U1936" i="10"/>
  <c r="U2991" i="10"/>
  <c r="U3597" i="10"/>
  <c r="U2916" i="10"/>
  <c r="U3318" i="10"/>
  <c r="U4526" i="10"/>
  <c r="U4787" i="10"/>
  <c r="U2984" i="10"/>
  <c r="U2530" i="10"/>
  <c r="U2476" i="10"/>
  <c r="U1363" i="10"/>
  <c r="U3292" i="10"/>
  <c r="U2347" i="10"/>
  <c r="U3461" i="10"/>
  <c r="U2187" i="10"/>
  <c r="U3999" i="10"/>
  <c r="U2213" i="10"/>
  <c r="U5044" i="10"/>
  <c r="U1612" i="10"/>
  <c r="U5300" i="10"/>
  <c r="U2980" i="10"/>
  <c r="U3280" i="10"/>
  <c r="U1864" i="10"/>
  <c r="U1656" i="10"/>
  <c r="U2224" i="10"/>
  <c r="U1275" i="10"/>
  <c r="U4987" i="10"/>
  <c r="U3096" i="10"/>
  <c r="U4744" i="10"/>
  <c r="U2799" i="10"/>
  <c r="U3516" i="10"/>
  <c r="U1225" i="10"/>
  <c r="U1876" i="10"/>
  <c r="U3473" i="10"/>
  <c r="Q290" i="10"/>
  <c r="U290" i="10" s="1"/>
  <c r="U2560" i="10"/>
  <c r="U2559" i="10"/>
  <c r="U2004" i="10"/>
  <c r="U1128" i="10"/>
  <c r="U1314" i="10"/>
  <c r="U1542" i="10"/>
  <c r="U1384" i="10"/>
  <c r="U2338" i="10"/>
  <c r="U2323" i="10"/>
  <c r="U3990" i="10"/>
  <c r="U3889" i="10"/>
  <c r="U4731" i="10"/>
  <c r="U3273" i="10"/>
  <c r="U308" i="10"/>
  <c r="U3851" i="10"/>
  <c r="U1066" i="10"/>
  <c r="U3724" i="10"/>
  <c r="U3759" i="10"/>
  <c r="U3200" i="10"/>
  <c r="U3364" i="10"/>
  <c r="U3570" i="10"/>
  <c r="U3329" i="10"/>
  <c r="U2716" i="10"/>
  <c r="U3718" i="10"/>
  <c r="U4714" i="10"/>
  <c r="U2564" i="10"/>
  <c r="U3790" i="10"/>
  <c r="U3208" i="10"/>
  <c r="U4684" i="10"/>
  <c r="U4852" i="10"/>
  <c r="U3471" i="10"/>
  <c r="U4605" i="10"/>
  <c r="U4715" i="10"/>
  <c r="U4644" i="10"/>
  <c r="U5234" i="10"/>
  <c r="U2958" i="10"/>
  <c r="U1173" i="10"/>
  <c r="U1351" i="10"/>
  <c r="U2650" i="10"/>
  <c r="U3617" i="10"/>
  <c r="U3168" i="10"/>
  <c r="U1382" i="10"/>
  <c r="U4523" i="10"/>
  <c r="U3374" i="10"/>
  <c r="U2556" i="10"/>
  <c r="U5542" i="10"/>
  <c r="U3979" i="10"/>
  <c r="U3014" i="10"/>
  <c r="U1553" i="10"/>
  <c r="U4110" i="10"/>
  <c r="U3198" i="10"/>
  <c r="U1246" i="10"/>
  <c r="U1156" i="10"/>
  <c r="U3002" i="10"/>
  <c r="U1987" i="10"/>
  <c r="U2032" i="10"/>
  <c r="U5269" i="10"/>
  <c r="U1654" i="10"/>
  <c r="U3253" i="10"/>
  <c r="U4179" i="10"/>
  <c r="U3233" i="10"/>
  <c r="U3346" i="10"/>
  <c r="U3238" i="10"/>
  <c r="U4943" i="10"/>
  <c r="U5169" i="10"/>
  <c r="U2028" i="10"/>
  <c r="U5322" i="10"/>
  <c r="U5463" i="10"/>
  <c r="U2992" i="10"/>
  <c r="U4255" i="10"/>
  <c r="U2256" i="10"/>
  <c r="U2639" i="10"/>
  <c r="U3670" i="10"/>
  <c r="U99" i="10"/>
  <c r="U2462" i="10"/>
  <c r="U2414" i="10"/>
  <c r="U4542" i="10"/>
  <c r="U3110" i="10"/>
  <c r="U4248" i="10"/>
  <c r="U3293" i="10"/>
  <c r="U5167" i="10"/>
  <c r="U3154" i="10"/>
  <c r="U2739" i="10"/>
  <c r="U3672" i="10"/>
  <c r="U1763" i="10"/>
  <c r="U4842" i="10"/>
  <c r="U3290" i="10"/>
  <c r="U2434" i="10"/>
  <c r="U1113" i="10"/>
  <c r="U1803" i="10"/>
  <c r="U1313" i="10"/>
  <c r="U4303" i="10"/>
  <c r="U2282" i="10"/>
  <c r="U3605" i="10"/>
  <c r="U1371" i="10"/>
  <c r="U5372" i="10"/>
  <c r="U4947" i="10"/>
  <c r="U234" i="10"/>
  <c r="U4296" i="10"/>
  <c r="U3454" i="10"/>
  <c r="U5166" i="10"/>
  <c r="U5510" i="10"/>
  <c r="U3413" i="10"/>
  <c r="U2926" i="10"/>
  <c r="U1134" i="10"/>
  <c r="U1501" i="10"/>
  <c r="U2419" i="10"/>
  <c r="U2029" i="10"/>
  <c r="U1579" i="10"/>
  <c r="U4524" i="10"/>
  <c r="U1714" i="10"/>
  <c r="U1963" i="10"/>
  <c r="U1646" i="10"/>
  <c r="U2138" i="10"/>
  <c r="U1324" i="10"/>
  <c r="U2876" i="10"/>
  <c r="U2604" i="10"/>
  <c r="U4531" i="10"/>
  <c r="U2260" i="10"/>
  <c r="U1502" i="10"/>
  <c r="U3618" i="10"/>
  <c r="U3980" i="10"/>
  <c r="U1354" i="10"/>
  <c r="U1032" i="10"/>
  <c r="U1935" i="10"/>
  <c r="U4011" i="10"/>
  <c r="U2412" i="10"/>
  <c r="U4268" i="10"/>
  <c r="U2259" i="10"/>
  <c r="U4861" i="10"/>
  <c r="U2539" i="10"/>
  <c r="U5194" i="10"/>
  <c r="U3358" i="10"/>
  <c r="U1861" i="10"/>
  <c r="U3095" i="10"/>
  <c r="U3754" i="10"/>
  <c r="U5140" i="10"/>
  <c r="U1175" i="10"/>
  <c r="U3286" i="10"/>
  <c r="U3294" i="10"/>
  <c r="U4251" i="10"/>
  <c r="U1828" i="10"/>
  <c r="U3196" i="10"/>
  <c r="U2389" i="10"/>
  <c r="U2612" i="10"/>
  <c r="U2816" i="10"/>
  <c r="U4716" i="10"/>
  <c r="U5405" i="10"/>
  <c r="U1140" i="10"/>
  <c r="U4385" i="10"/>
  <c r="U3626" i="10"/>
  <c r="U3834" i="10"/>
  <c r="U1300" i="10"/>
  <c r="U2062" i="10"/>
  <c r="U2737" i="10"/>
  <c r="U3133" i="10"/>
  <c r="U2756" i="10"/>
  <c r="U4096" i="10"/>
  <c r="U2741" i="10"/>
  <c r="U3260" i="10"/>
  <c r="U1510" i="10"/>
  <c r="U4398" i="10"/>
  <c r="U5099" i="10"/>
  <c r="U2008" i="10"/>
  <c r="Q1602" i="10"/>
  <c r="U1602" i="10" s="1"/>
  <c r="U3210" i="10"/>
  <c r="U1430" i="10"/>
  <c r="U1969" i="10"/>
  <c r="U3391" i="10"/>
  <c r="U3146" i="10"/>
  <c r="U2409" i="10"/>
  <c r="U2996" i="10"/>
  <c r="U1237" i="10"/>
  <c r="U4883" i="10"/>
  <c r="Q1673" i="10"/>
  <c r="U1673" i="10" s="1"/>
  <c r="U2129" i="10"/>
  <c r="U2828" i="10"/>
  <c r="U1938" i="10"/>
  <c r="U667" i="10"/>
  <c r="U4765" i="10"/>
  <c r="U4580" i="10"/>
  <c r="U3798" i="10"/>
  <c r="U289" i="10"/>
  <c r="U3491" i="10"/>
  <c r="U3961" i="10"/>
  <c r="U2841" i="10"/>
  <c r="U1836" i="10"/>
  <c r="U3810" i="10"/>
  <c r="U1297" i="10"/>
  <c r="U1986" i="10"/>
  <c r="U3115" i="10"/>
  <c r="U5007" i="10"/>
  <c r="U1390" i="10"/>
  <c r="U3264" i="10"/>
  <c r="U3679" i="10"/>
  <c r="U2492" i="10"/>
  <c r="U3788" i="10"/>
  <c r="U4302" i="10"/>
  <c r="U3781" i="10"/>
  <c r="U4462" i="10"/>
  <c r="U2073" i="10"/>
  <c r="U1634" i="10"/>
  <c r="U2024" i="10"/>
  <c r="U2489" i="10"/>
  <c r="U2637" i="10"/>
  <c r="U4492" i="10"/>
  <c r="U3583" i="10"/>
  <c r="U2429" i="10"/>
  <c r="U2571" i="10"/>
  <c r="U1148" i="10"/>
  <c r="U5569" i="10"/>
  <c r="U3009" i="10"/>
  <c r="U2813" i="10"/>
  <c r="U1272" i="10"/>
  <c r="U2059" i="10"/>
  <c r="U1644" i="10"/>
  <c r="U3125" i="10"/>
  <c r="U3173" i="10"/>
  <c r="U4719" i="10"/>
  <c r="U3748" i="10"/>
  <c r="U1317" i="10"/>
  <c r="U3069" i="10"/>
  <c r="U2167" i="10"/>
  <c r="U1068" i="10"/>
  <c r="U2938" i="10"/>
  <c r="U1391" i="10"/>
  <c r="U2115" i="10"/>
  <c r="U3042" i="10"/>
  <c r="U2100" i="10"/>
  <c r="U1678" i="10"/>
  <c r="U4508" i="10"/>
  <c r="U2881" i="10"/>
  <c r="U3719" i="10"/>
  <c r="U3825" i="10"/>
  <c r="U557" i="10"/>
  <c r="U2977" i="10"/>
  <c r="U4802" i="10"/>
  <c r="U2774" i="10"/>
  <c r="U3249" i="10"/>
  <c r="U4394" i="10"/>
  <c r="U3416" i="10"/>
  <c r="U1860" i="10"/>
  <c r="U1712" i="10"/>
  <c r="U5382" i="10"/>
  <c r="U1904" i="10"/>
  <c r="U1645" i="10"/>
  <c r="U3141" i="10"/>
  <c r="U1701" i="10"/>
  <c r="U1206" i="10"/>
  <c r="U1814" i="10"/>
  <c r="U2797" i="10"/>
  <c r="U3150" i="10"/>
  <c r="U1234" i="10"/>
  <c r="U1109" i="10"/>
  <c r="U1859" i="10"/>
  <c r="Q1628" i="10"/>
  <c r="U1628" i="10" s="1"/>
  <c r="U3093" i="10"/>
  <c r="Q1667" i="10"/>
  <c r="U1667" i="10" s="1"/>
  <c r="U1663" i="10"/>
  <c r="U4820" i="10"/>
  <c r="Q2220" i="10"/>
  <c r="U2220" i="10" s="1"/>
  <c r="U841" i="10"/>
  <c r="U934" i="10"/>
  <c r="U4594" i="10"/>
  <c r="U4885" i="10"/>
  <c r="U3502" i="10"/>
  <c r="U72" i="10"/>
  <c r="Q624" i="10"/>
  <c r="U624" i="10" s="1"/>
  <c r="U5574" i="10"/>
  <c r="U619" i="10"/>
  <c r="U3216" i="10"/>
  <c r="U1470" i="10"/>
  <c r="U3370" i="10"/>
  <c r="U3190" i="10"/>
  <c r="U2031" i="10"/>
  <c r="U1931" i="10"/>
  <c r="U2833" i="10"/>
  <c r="U3281" i="10"/>
  <c r="U2477" i="10"/>
  <c r="U2472" i="10"/>
  <c r="U2481" i="10"/>
  <c r="U1168" i="10"/>
  <c r="U1808" i="10"/>
  <c r="U2857" i="10"/>
  <c r="U1968" i="10"/>
  <c r="U2120" i="10"/>
  <c r="U4202" i="10"/>
  <c r="U3511" i="10"/>
  <c r="U3546" i="10"/>
  <c r="U2812" i="10"/>
  <c r="U1358" i="10"/>
  <c r="U5103" i="10"/>
  <c r="U2420" i="10"/>
  <c r="U3948" i="10"/>
  <c r="U2003" i="10"/>
  <c r="U3800" i="10"/>
  <c r="U1786" i="10"/>
  <c r="U4965" i="10"/>
  <c r="U2501" i="10"/>
  <c r="U4400" i="10"/>
  <c r="U4656" i="10"/>
  <c r="U868" i="10"/>
  <c r="U3476" i="10"/>
  <c r="U2545" i="10"/>
  <c r="U4732" i="10"/>
  <c r="U4490" i="10"/>
  <c r="U1648" i="10"/>
  <c r="U2245" i="10"/>
  <c r="U5151" i="10"/>
  <c r="U2215" i="10"/>
  <c r="U2791" i="10"/>
  <c r="U2968" i="10"/>
  <c r="U3352" i="10"/>
  <c r="U2689" i="10"/>
  <c r="U1341" i="10"/>
  <c r="U5039" i="10"/>
  <c r="U3513" i="10"/>
  <c r="U3632" i="10"/>
  <c r="U2131" i="10"/>
  <c r="U3708" i="10"/>
  <c r="U3574" i="10"/>
  <c r="U4913" i="10"/>
  <c r="U1349" i="10"/>
  <c r="U1950" i="10"/>
  <c r="U3722" i="10"/>
  <c r="U3943" i="10"/>
  <c r="U2673" i="10"/>
  <c r="U3228" i="10"/>
  <c r="U5272" i="10"/>
  <c r="U2142" i="10"/>
  <c r="U1820" i="10"/>
  <c r="U2979" i="10"/>
  <c r="U709" i="10"/>
  <c r="U1523" i="10"/>
  <c r="U403" i="10"/>
  <c r="U4206" i="10"/>
  <c r="U504" i="10"/>
  <c r="U4897" i="10"/>
  <c r="Q577" i="10"/>
  <c r="U577" i="10" s="1"/>
  <c r="U2889" i="10"/>
  <c r="U4035" i="10"/>
  <c r="U3489" i="10"/>
  <c r="U3518" i="10"/>
  <c r="U5323" i="10"/>
  <c r="U1616" i="10"/>
  <c r="U2525" i="10"/>
  <c r="U4363" i="10"/>
  <c r="U1280" i="10"/>
  <c r="U1266" i="10"/>
  <c r="U1596" i="10"/>
  <c r="U3482" i="10"/>
  <c r="U3039" i="10"/>
  <c r="U2558" i="10"/>
  <c r="U3070" i="10"/>
  <c r="U5475" i="10"/>
  <c r="U3230" i="10"/>
  <c r="U2971" i="10"/>
  <c r="U3530" i="10"/>
  <c r="U2153" i="10"/>
  <c r="U2504" i="10"/>
  <c r="U1934" i="10"/>
  <c r="U3324" i="10"/>
  <c r="U4597" i="10"/>
  <c r="U2850" i="10"/>
  <c r="U2406" i="10"/>
  <c r="U2753" i="10"/>
  <c r="U304" i="10"/>
  <c r="U2792" i="10"/>
  <c r="U5204" i="10"/>
  <c r="U3384" i="10"/>
  <c r="U2354" i="10"/>
  <c r="U2610" i="10"/>
  <c r="U4864" i="10"/>
  <c r="U1872" i="10"/>
  <c r="U3103" i="10"/>
  <c r="U933" i="10"/>
  <c r="U2920" i="10"/>
  <c r="U5324" i="10"/>
  <c r="U1897" i="10"/>
  <c r="U1619" i="10"/>
  <c r="U4909" i="10"/>
  <c r="U3005" i="10"/>
  <c r="U2982" i="10"/>
  <c r="U1653" i="10"/>
  <c r="U2068" i="10"/>
  <c r="U2549" i="10"/>
  <c r="U2865" i="10"/>
  <c r="U3562" i="10"/>
  <c r="U3411" i="10"/>
  <c r="U1857" i="10"/>
  <c r="U3289" i="10"/>
  <c r="U3684" i="10"/>
  <c r="U3540" i="10"/>
  <c r="U2738" i="10"/>
  <c r="U2575" i="10"/>
  <c r="U4753" i="10"/>
  <c r="U4726" i="10"/>
  <c r="U3231" i="10"/>
  <c r="U2350" i="10"/>
  <c r="U4012" i="10"/>
  <c r="U3032" i="10"/>
  <c r="U1491" i="10"/>
  <c r="U2735" i="10"/>
  <c r="U3204" i="10"/>
  <c r="U2186" i="10"/>
  <c r="U1812" i="10"/>
  <c r="Q1741" i="10"/>
  <c r="U1741" i="10" s="1"/>
  <c r="U1099" i="10"/>
  <c r="U1226" i="10"/>
  <c r="Q1622" i="10"/>
  <c r="U1622" i="10" s="1"/>
  <c r="U1869" i="10"/>
  <c r="U1434" i="10"/>
  <c r="U3433" i="10"/>
  <c r="U2752" i="10"/>
  <c r="U2656" i="10"/>
  <c r="Q769" i="10"/>
  <c r="U769" i="10" s="1"/>
  <c r="U5185" i="10"/>
  <c r="U4275" i="10"/>
  <c r="U4219" i="10"/>
  <c r="U479" i="10"/>
  <c r="U3212" i="10"/>
  <c r="Q794" i="10"/>
  <c r="U794" i="10" s="1"/>
  <c r="U5207" i="10"/>
  <c r="U4782" i="10"/>
  <c r="U3287" i="10"/>
  <c r="U3046" i="10"/>
  <c r="U1717" i="10"/>
  <c r="Q1789" i="10"/>
  <c r="U1789" i="10" s="1"/>
  <c r="U2355" i="10"/>
  <c r="U3490" i="10"/>
  <c r="U1842" i="10"/>
  <c r="U1856" i="10"/>
  <c r="U1650" i="10"/>
  <c r="U2625" i="10"/>
  <c r="U1398" i="10"/>
  <c r="U1898" i="10"/>
  <c r="U2358" i="10"/>
  <c r="U3732" i="10"/>
  <c r="U1397" i="10"/>
  <c r="U2990" i="10"/>
  <c r="U3821" i="10"/>
  <c r="U4205" i="10"/>
  <c r="U5066" i="10"/>
  <c r="U2653" i="10"/>
  <c r="U2164" i="10"/>
  <c r="U4123" i="10"/>
  <c r="U3088" i="10"/>
  <c r="U2969" i="10"/>
  <c r="U3013" i="10"/>
  <c r="U3668" i="10"/>
  <c r="U4683" i="10"/>
  <c r="U5385" i="10"/>
  <c r="U2374" i="10"/>
  <c r="U2848" i="10"/>
  <c r="U3104" i="10"/>
  <c r="U3275" i="10"/>
  <c r="U2110" i="10"/>
  <c r="U2136" i="10"/>
  <c r="U5056" i="10"/>
  <c r="U3517" i="10"/>
  <c r="U2593" i="10"/>
  <c r="U3949" i="10"/>
  <c r="U4904" i="10"/>
  <c r="U2413" i="10"/>
  <c r="U2624" i="10"/>
  <c r="U5484" i="10"/>
  <c r="U1347" i="10"/>
  <c r="U3986" i="10"/>
  <c r="U1155" i="10"/>
  <c r="U1312" i="10"/>
  <c r="U4977" i="10"/>
  <c r="U4015" i="10"/>
  <c r="U5258" i="10"/>
  <c r="U5129" i="10"/>
  <c r="U4298" i="10"/>
  <c r="U4972" i="10"/>
  <c r="U3232" i="10"/>
  <c r="U2983" i="10"/>
  <c r="U3602" i="10"/>
  <c r="U4891" i="10"/>
  <c r="U2710" i="10"/>
  <c r="U4877" i="10"/>
  <c r="U2669" i="10"/>
  <c r="U2022" i="10"/>
  <c r="U2515" i="10"/>
  <c r="U3229" i="10"/>
  <c r="U2964" i="10"/>
  <c r="U1229" i="10"/>
  <c r="U2001" i="10"/>
  <c r="U2731" i="10"/>
  <c r="Q294" i="10"/>
  <c r="U294" i="10" s="1"/>
  <c r="Q1710" i="10"/>
  <c r="U1710" i="10" s="1"/>
  <c r="U1459" i="10"/>
  <c r="U2044" i="10"/>
  <c r="U2835" i="10"/>
  <c r="U2158" i="10"/>
  <c r="U2393" i="10"/>
  <c r="U3386" i="10"/>
  <c r="O14" i="10"/>
  <c r="U4733" i="10"/>
  <c r="U3802" i="10"/>
  <c r="U3385" i="10"/>
  <c r="U338" i="10"/>
  <c r="U2951" i="10"/>
  <c r="U3550" i="10"/>
  <c r="U4285" i="10"/>
  <c r="U5469" i="10"/>
  <c r="U4018" i="10"/>
  <c r="U3436" i="10"/>
  <c r="U1921" i="10"/>
  <c r="Q1785" i="10"/>
  <c r="U1785" i="10" s="1"/>
  <c r="U2081" i="10"/>
  <c r="U1843" i="10"/>
  <c r="U3360" i="10"/>
  <c r="U2967" i="10"/>
  <c r="U3199" i="10"/>
  <c r="U1359" i="10"/>
  <c r="U1604" i="10"/>
  <c r="U3915" i="10"/>
  <c r="U2468" i="10"/>
  <c r="U48" i="10"/>
  <c r="U3778" i="10"/>
  <c r="U2685" i="10"/>
  <c r="U1647" i="10"/>
  <c r="U2063" i="10"/>
  <c r="U1925" i="10"/>
  <c r="U2343" i="10"/>
  <c r="U2594" i="10"/>
  <c r="U818" i="10"/>
  <c r="U2666" i="10"/>
  <c r="U3852" i="10"/>
  <c r="U2457" i="10"/>
  <c r="U3726" i="10"/>
  <c r="U2572" i="10"/>
  <c r="U5560" i="10"/>
  <c r="U3883" i="10"/>
  <c r="U1911" i="10"/>
  <c r="U1721" i="10"/>
  <c r="U2901" i="10"/>
  <c r="U3031" i="10"/>
  <c r="U2150" i="10"/>
  <c r="U4426" i="10"/>
  <c r="U1967" i="10"/>
  <c r="U1827" i="10"/>
  <c r="U2606" i="10"/>
  <c r="U4408" i="10"/>
  <c r="U2588" i="10"/>
  <c r="U2375" i="10"/>
  <c r="U2446" i="10"/>
  <c r="U2873" i="10"/>
  <c r="U2989" i="10"/>
  <c r="U2104" i="10"/>
  <c r="U1509" i="10"/>
  <c r="U3091" i="10"/>
  <c r="U1841" i="10"/>
  <c r="U2538" i="10"/>
  <c r="U4574" i="10"/>
  <c r="U2602" i="10"/>
  <c r="U3944" i="10"/>
  <c r="U1796" i="10"/>
  <c r="U1798" i="10"/>
  <c r="U3072" i="10"/>
  <c r="U4922" i="10"/>
  <c r="U1315" i="10"/>
  <c r="U1893" i="10"/>
  <c r="U2844" i="10"/>
  <c r="U4334" i="10"/>
  <c r="U2082" i="10"/>
  <c r="U2035" i="10"/>
  <c r="U3330" i="10"/>
  <c r="U3274" i="10"/>
  <c r="U1574" i="10"/>
  <c r="U2527" i="10"/>
  <c r="U1428" i="10"/>
  <c r="U1445" i="10"/>
  <c r="Q1666" i="10"/>
  <c r="U1666" i="10" s="1"/>
  <c r="U1655" i="10"/>
  <c r="U2402" i="10"/>
  <c r="U1853" i="10"/>
  <c r="U2440" i="10"/>
  <c r="U2505" i="10"/>
  <c r="U438" i="10"/>
  <c r="U4535" i="10"/>
  <c r="U215" i="10"/>
  <c r="U2520" i="10"/>
  <c r="U334" i="10"/>
  <c r="U5209" i="10"/>
  <c r="U3611" i="10"/>
  <c r="U71" i="10"/>
  <c r="U4181" i="10"/>
  <c r="U3692" i="10"/>
  <c r="U2196" i="10"/>
  <c r="U3637" i="10"/>
  <c r="U1561" i="10"/>
  <c r="U2232" i="10"/>
  <c r="U2188" i="10"/>
  <c r="U2507" i="10"/>
  <c r="U3045" i="10"/>
  <c r="U3702" i="10"/>
  <c r="U2758" i="10"/>
  <c r="U4619" i="10"/>
  <c r="U1355" i="10"/>
  <c r="U3578" i="10"/>
  <c r="U3587" i="10"/>
  <c r="U5290" i="10"/>
  <c r="U2159" i="10"/>
  <c r="U3197" i="10"/>
  <c r="U2557" i="10"/>
  <c r="U2230" i="10"/>
  <c r="U3034" i="10"/>
  <c r="U2918" i="10"/>
  <c r="U3669" i="10"/>
  <c r="U4652" i="10"/>
  <c r="U2509" i="10"/>
  <c r="U2886" i="10"/>
  <c r="U4775" i="10"/>
  <c r="U1340" i="10"/>
  <c r="U4999" i="10"/>
  <c r="U1772" i="10"/>
  <c r="U3460" i="10"/>
  <c r="U2087" i="10"/>
  <c r="U2020" i="10"/>
  <c r="U3109" i="10"/>
  <c r="U2953" i="10"/>
  <c r="U5045" i="10"/>
  <c r="U2461" i="10"/>
  <c r="U4676" i="10"/>
  <c r="U2486" i="10"/>
  <c r="U5210" i="10"/>
  <c r="U2856" i="10"/>
  <c r="U2483" i="10"/>
  <c r="U2141" i="10"/>
  <c r="U3751" i="10"/>
  <c r="U5002" i="10"/>
  <c r="U2118" i="10"/>
  <c r="U1304" i="10"/>
  <c r="U2817" i="10"/>
  <c r="U2399" i="10"/>
  <c r="U3757" i="10"/>
  <c r="U2534" i="10"/>
  <c r="U5552" i="10"/>
  <c r="U3359" i="10"/>
  <c r="U3337" i="10"/>
  <c r="U2776" i="10"/>
  <c r="U1462" i="10"/>
  <c r="U653" i="10"/>
  <c r="U1882" i="10"/>
  <c r="U2807" i="10"/>
  <c r="U2547" i="10"/>
  <c r="U1840" i="10"/>
  <c r="U2573" i="10"/>
  <c r="U2785" i="10"/>
  <c r="Q510" i="10"/>
  <c r="U510" i="10" s="1"/>
  <c r="U3869" i="10"/>
  <c r="U3720" i="10"/>
  <c r="U3654" i="10"/>
  <c r="U302" i="10"/>
  <c r="U4649" i="10"/>
  <c r="U4137" i="10"/>
  <c r="U4097" i="10"/>
  <c r="U5314" i="10"/>
  <c r="U3270" i="10"/>
  <c r="U2386" i="10"/>
  <c r="U2519" i="10"/>
  <c r="U2341" i="10"/>
  <c r="U5500" i="10"/>
  <c r="U4908" i="10"/>
  <c r="U3339" i="10"/>
  <c r="U1764" i="10"/>
  <c r="U4059" i="10"/>
  <c r="U2508" i="10"/>
  <c r="U3855" i="10"/>
  <c r="U1609" i="10"/>
  <c r="U3647" i="10"/>
  <c r="U2155" i="10"/>
  <c r="U2526" i="10"/>
  <c r="U2051" i="10"/>
  <c r="U1802" i="10"/>
  <c r="U1886" i="10"/>
  <c r="U3016" i="10"/>
  <c r="U2522" i="10"/>
  <c r="U3893" i="10"/>
  <c r="U1614" i="10"/>
  <c r="U2905" i="10"/>
  <c r="U2425" i="10"/>
  <c r="U3729" i="10"/>
  <c r="U1394" i="10"/>
  <c r="U3959" i="10"/>
  <c r="U3320" i="10"/>
  <c r="U2872" i="10"/>
  <c r="U5354" i="10"/>
  <c r="U3130" i="10"/>
  <c r="U3642" i="10"/>
  <c r="U2634" i="10"/>
  <c r="U3694" i="10"/>
  <c r="U2730" i="10"/>
  <c r="U4563" i="10"/>
  <c r="U2596" i="10"/>
  <c r="U4637" i="10"/>
  <c r="U3435" i="10"/>
  <c r="U2050" i="10"/>
  <c r="U2995" i="10"/>
  <c r="U1676" i="10"/>
  <c r="U3132" i="10"/>
  <c r="U4651" i="10"/>
  <c r="U1318" i="10"/>
  <c r="U1975" i="10"/>
  <c r="U2902" i="10"/>
  <c r="U2067" i="10"/>
  <c r="U3179" i="10"/>
  <c r="U3506" i="10"/>
  <c r="U5318" i="10"/>
  <c r="U2888" i="10"/>
  <c r="U1455" i="10"/>
  <c r="U1636" i="10"/>
  <c r="U3776" i="10"/>
  <c r="U2183" i="10"/>
  <c r="U3973" i="10"/>
  <c r="U3297" i="10"/>
  <c r="U2078" i="10"/>
  <c r="U1597" i="10"/>
  <c r="U1465" i="10"/>
  <c r="U4243" i="10"/>
  <c r="U962" i="10"/>
  <c r="U4677" i="10"/>
  <c r="U3710" i="10"/>
  <c r="U1057" i="10"/>
  <c r="U3964" i="10"/>
  <c r="U859" i="10"/>
  <c r="U4779" i="10"/>
  <c r="U4568" i="10"/>
  <c r="U4113" i="10"/>
  <c r="U2626" i="10"/>
  <c r="U1267" i="10"/>
  <c r="U2466" i="10"/>
  <c r="U2452" i="10"/>
  <c r="U4798" i="10"/>
  <c r="U1389" i="10"/>
  <c r="U3434" i="10"/>
  <c r="U3666" i="10"/>
  <c r="U754" i="10"/>
  <c r="U4212" i="10"/>
  <c r="U1649" i="10"/>
  <c r="U3276" i="10"/>
  <c r="U3097" i="10"/>
  <c r="U4211" i="10"/>
  <c r="U3048" i="10"/>
  <c r="U1498" i="10"/>
  <c r="U4622" i="10"/>
  <c r="U1867" i="10"/>
  <c r="U5101" i="10"/>
  <c r="U1480" i="10"/>
  <c r="U4776" i="10"/>
  <c r="U1277" i="10"/>
  <c r="U1928" i="10"/>
  <c r="U3522" i="10"/>
  <c r="U776" i="10"/>
  <c r="U1984" i="10"/>
  <c r="U5417" i="10"/>
  <c r="U3334" i="10"/>
  <c r="U2981" i="10"/>
  <c r="U2219" i="10"/>
  <c r="U2249" i="10"/>
  <c r="U2474" i="10"/>
  <c r="U4430" i="10"/>
  <c r="U5293" i="10"/>
  <c r="U3681" i="10"/>
  <c r="U5502" i="10"/>
  <c r="U3885" i="10"/>
  <c r="U277" i="10"/>
  <c r="U2927" i="10"/>
  <c r="U1475" i="10"/>
  <c r="U1665" i="10"/>
  <c r="U2809" i="10"/>
  <c r="U2814" i="10"/>
  <c r="U1516" i="10"/>
  <c r="U1810" i="10"/>
  <c r="U2053" i="10"/>
  <c r="U3012" i="10"/>
  <c r="U1793" i="10"/>
  <c r="U4044" i="10"/>
  <c r="U2976" i="10"/>
  <c r="U3657" i="10"/>
  <c r="U2231" i="10"/>
  <c r="U1916" i="10"/>
  <c r="U2746" i="10"/>
  <c r="U3400" i="10"/>
  <c r="U2646" i="10"/>
  <c r="U4116" i="10"/>
  <c r="U1652" i="10"/>
  <c r="U3059" i="10"/>
  <c r="U2894" i="10"/>
  <c r="U1863" i="10"/>
  <c r="U477" i="10"/>
  <c r="U5155" i="10"/>
  <c r="U3795" i="10"/>
  <c r="U579" i="10"/>
  <c r="U174" i="10"/>
  <c r="U211" i="10"/>
  <c r="U121" i="10"/>
  <c r="U3335" i="10"/>
  <c r="U4934" i="10"/>
  <c r="U5232" i="10"/>
  <c r="U2880" i="10"/>
  <c r="U2681" i="10"/>
  <c r="U3166" i="10"/>
  <c r="U1858" i="10"/>
  <c r="U2503" i="10"/>
  <c r="U4816" i="10"/>
  <c r="U4396" i="10"/>
  <c r="U3136" i="10"/>
  <c r="U3589" i="10"/>
  <c r="U1334" i="10"/>
  <c r="U2239" i="10"/>
  <c r="U2378" i="10"/>
  <c r="U3144" i="10"/>
  <c r="U1333" i="10"/>
  <c r="U4586" i="10"/>
  <c r="U1512" i="10"/>
  <c r="U2798" i="10"/>
  <c r="U3892" i="10"/>
  <c r="U2862" i="10"/>
  <c r="U4042" i="10"/>
  <c r="U4280" i="10"/>
  <c r="U3538" i="10"/>
  <c r="U4941" i="10"/>
  <c r="U2036" i="10"/>
  <c r="U3420" i="10"/>
  <c r="U1991" i="10"/>
  <c r="U4734" i="10"/>
  <c r="U3785" i="10"/>
  <c r="U2840" i="10"/>
  <c r="U4623" i="10"/>
  <c r="U4650" i="10"/>
  <c r="U4463" i="10"/>
  <c r="U2831" i="10"/>
  <c r="U4638" i="10"/>
  <c r="U1489" i="10"/>
  <c r="U3935" i="10"/>
  <c r="U1518" i="10"/>
  <c r="U3814" i="10"/>
  <c r="U2270" i="10"/>
  <c r="U1913" i="10"/>
  <c r="U3124" i="10"/>
  <c r="U2151" i="10"/>
  <c r="U4546" i="10"/>
  <c r="U4242" i="10"/>
  <c r="U3328" i="10"/>
  <c r="U4491" i="10"/>
  <c r="U2455" i="10"/>
  <c r="U3414" i="10"/>
  <c r="U5572" i="10"/>
  <c r="U4234" i="10"/>
  <c r="U432" i="10"/>
  <c r="U1189" i="10"/>
  <c r="U3872" i="10"/>
  <c r="U1865" i="10"/>
  <c r="U5022" i="10"/>
  <c r="U3203" i="10"/>
  <c r="U5206" i="10"/>
  <c r="U3106" i="10"/>
  <c r="U1570" i="10"/>
  <c r="U1565" i="10"/>
  <c r="U4428" i="10"/>
  <c r="U898" i="10"/>
  <c r="U3703" i="10"/>
  <c r="U3581" i="10"/>
  <c r="U4707" i="10"/>
  <c r="U4613" i="10"/>
  <c r="U4070" i="10"/>
  <c r="U433" i="10"/>
  <c r="U4439" i="10"/>
  <c r="U4654" i="10"/>
  <c r="U1253" i="10"/>
  <c r="U1530" i="10"/>
  <c r="U2574" i="10"/>
  <c r="U3222" i="10"/>
  <c r="U2119" i="10"/>
  <c r="U3735" i="10"/>
  <c r="U2770" i="10"/>
  <c r="U2987" i="10"/>
  <c r="U3223" i="10"/>
  <c r="U3829" i="10"/>
  <c r="U2147" i="10"/>
  <c r="U2411" i="10"/>
  <c r="U4364" i="10"/>
  <c r="U4333" i="10"/>
  <c r="U2690" i="10"/>
  <c r="U1866" i="10"/>
  <c r="U4074" i="10"/>
  <c r="U2493" i="10"/>
  <c r="U3799" i="10"/>
  <c r="U1533" i="10"/>
  <c r="U3396" i="10"/>
  <c r="U235" i="10"/>
  <c r="U1889" i="10"/>
  <c r="U1165" i="10"/>
  <c r="U3164" i="10"/>
  <c r="U4911" i="10"/>
  <c r="U4496" i="10"/>
  <c r="U1479" i="10"/>
  <c r="U3818" i="10"/>
  <c r="U1875" i="10"/>
  <c r="U1329" i="10"/>
  <c r="U2954" i="10"/>
  <c r="U2847" i="10"/>
  <c r="U2174" i="10"/>
  <c r="U3361" i="10"/>
  <c r="U2079" i="10"/>
  <c r="U1964" i="10"/>
  <c r="U1149" i="10"/>
  <c r="U4598" i="10"/>
  <c r="U3606" i="10"/>
  <c r="U1960" i="10"/>
  <c r="U1474" i="10"/>
  <c r="U4813" i="10"/>
  <c r="U5328" i="10"/>
  <c r="U2722" i="10"/>
  <c r="U1299" i="10"/>
  <c r="U2380" i="10"/>
  <c r="U2533" i="10"/>
  <c r="U3524" i="10"/>
  <c r="U4027" i="10"/>
  <c r="U1386" i="10"/>
  <c r="U3777" i="10"/>
  <c r="U5418" i="10"/>
  <c r="U2615" i="10"/>
  <c r="U3437" i="10"/>
  <c r="U5400" i="10"/>
  <c r="U2698" i="10"/>
  <c r="U3803" i="10"/>
  <c r="U1902" i="10"/>
  <c r="U2521" i="10"/>
  <c r="U1556" i="10"/>
  <c r="U2348" i="10"/>
  <c r="U371" i="10"/>
  <c r="U5466" i="10"/>
  <c r="U2966" i="10"/>
  <c r="U1320" i="10"/>
  <c r="U4788" i="10"/>
  <c r="U4277" i="10"/>
  <c r="U4550" i="10"/>
  <c r="U4423" i="10"/>
  <c r="U4825" i="10"/>
  <c r="U4975" i="10"/>
  <c r="U1912" i="10"/>
  <c r="U1787" i="10"/>
  <c r="U4494" i="10"/>
  <c r="U717" i="10"/>
  <c r="U2145" i="10"/>
  <c r="U4973" i="10"/>
  <c r="U3301" i="10"/>
  <c r="U3162" i="10"/>
  <c r="U4555" i="10"/>
  <c r="U3721" i="10"/>
  <c r="U2854" i="10"/>
  <c r="U2191" i="10"/>
  <c r="U5226" i="10"/>
  <c r="U3639" i="10"/>
  <c r="U1577" i="10"/>
  <c r="U1396" i="10"/>
  <c r="U5088" i="10"/>
  <c r="U2089" i="10"/>
  <c r="U3221" i="10"/>
  <c r="U3625" i="10"/>
  <c r="U1658" i="10"/>
  <c r="U1564" i="10"/>
  <c r="U2790" i="10"/>
  <c r="U1463" i="10"/>
  <c r="U1330" i="10"/>
  <c r="U4706" i="10"/>
  <c r="U3683" i="10"/>
  <c r="U3479" i="10"/>
  <c r="U1983" i="10"/>
  <c r="U1335" i="10"/>
  <c r="U1380" i="10"/>
  <c r="U2071" i="10"/>
  <c r="U3815" i="10"/>
  <c r="U3191" i="10"/>
  <c r="U1716" i="10"/>
  <c r="U2422" i="10"/>
  <c r="U615" i="10"/>
  <c r="U2713" i="10"/>
  <c r="U2709" i="10"/>
  <c r="U3092" i="10"/>
  <c r="U2702" i="10"/>
  <c r="U5102" i="10"/>
  <c r="U4587" i="10"/>
  <c r="U3201" i="10"/>
  <c r="U4368" i="10"/>
  <c r="U2769" i="10"/>
  <c r="U3388" i="10"/>
  <c r="U4846" i="10"/>
  <c r="U5488" i="10"/>
  <c r="U3924" i="10"/>
  <c r="U3921" i="10"/>
  <c r="U5435" i="10"/>
  <c r="U1362" i="10"/>
  <c r="U138" i="10"/>
  <c r="U4624" i="10"/>
  <c r="U5" i="10"/>
  <c r="U2621" i="10"/>
  <c r="U1544" i="10"/>
  <c r="U3010" i="10"/>
  <c r="U5069" i="10"/>
  <c r="U1822" i="10"/>
  <c r="U1696" i="10"/>
  <c r="U2456" i="10"/>
  <c r="U3182" i="10"/>
  <c r="U252" i="10"/>
  <c r="U5083" i="10"/>
  <c r="U5522" i="10"/>
  <c r="Q983" i="10"/>
  <c r="U983" i="10" s="1"/>
  <c r="U3235" i="10"/>
  <c r="U4870" i="10"/>
  <c r="U2583" i="10"/>
  <c r="U2677" i="10"/>
  <c r="U1364" i="10"/>
  <c r="U2000" i="10"/>
  <c r="U3844" i="10"/>
  <c r="U1806" i="10"/>
  <c r="U2346" i="10"/>
  <c r="U4749" i="10"/>
  <c r="U1994" i="10"/>
  <c r="U2444" i="10"/>
  <c r="U2128" i="10"/>
  <c r="U2839" i="10"/>
  <c r="U1534" i="10"/>
  <c r="U2091" i="10"/>
  <c r="U3087" i="10"/>
  <c r="U3207" i="10"/>
  <c r="U3073" i="10"/>
  <c r="U4522" i="10"/>
  <c r="U3558" i="10"/>
  <c r="U3037" i="10"/>
  <c r="U4049" i="10"/>
  <c r="U1833" i="10"/>
  <c r="U2674" i="10"/>
  <c r="U5200" i="10"/>
  <c r="U2597" i="10"/>
  <c r="U2943" i="10"/>
  <c r="U4689" i="10"/>
  <c r="U2609" i="10"/>
  <c r="U2885" i="10"/>
  <c r="U2040" i="10"/>
  <c r="U2948" i="10"/>
  <c r="U2903" i="10"/>
  <c r="U2149" i="10"/>
  <c r="U3020" i="10"/>
  <c r="U3269" i="10"/>
  <c r="U3170" i="10"/>
  <c r="U2532" i="10"/>
  <c r="U4417" i="10"/>
  <c r="U2760" i="10"/>
  <c r="U2435" i="10"/>
  <c r="U5010" i="10"/>
  <c r="U2397" i="10"/>
  <c r="U3412" i="10"/>
  <c r="U2123" i="10"/>
  <c r="U1144" i="10"/>
  <c r="U1138" i="10"/>
  <c r="U2802" i="10"/>
  <c r="U1164" i="10"/>
  <c r="U2352" i="10"/>
  <c r="U3442" i="10"/>
  <c r="U5556" i="10"/>
  <c r="U2227" i="10"/>
  <c r="U3695" i="10"/>
  <c r="U2975" i="10"/>
  <c r="U4610" i="10"/>
  <c r="U2578" i="10"/>
  <c r="U5152" i="10"/>
  <c r="U2095" i="10"/>
  <c r="U5452" i="10"/>
  <c r="U3055" i="10"/>
  <c r="U1166" i="10"/>
  <c r="U2134" i="10"/>
  <c r="U279" i="10"/>
  <c r="U4294" i="10"/>
  <c r="U1946" i="10"/>
  <c r="Q127" i="10"/>
  <c r="U127" i="10" s="1"/>
  <c r="U4348" i="10"/>
  <c r="U4443" i="10"/>
  <c r="U959" i="10"/>
  <c r="U5455" i="10"/>
  <c r="U422" i="10"/>
  <c r="U2339" i="10"/>
  <c r="U1139" i="10"/>
  <c r="U1169" i="10"/>
  <c r="U2238" i="10"/>
  <c r="U3483" i="10"/>
  <c r="U2652" i="10"/>
  <c r="U4010" i="10"/>
  <c r="U2670" i="10"/>
  <c r="U4814" i="10"/>
  <c r="U3395" i="10"/>
  <c r="U3390" i="10"/>
  <c r="U2719" i="10"/>
  <c r="U1136" i="10"/>
  <c r="U2796" i="10"/>
  <c r="U1374" i="10"/>
  <c r="U2949" i="10"/>
  <c r="U2064" i="10"/>
  <c r="U4836" i="10"/>
  <c r="U1774" i="10"/>
  <c r="U3306" i="10"/>
  <c r="U1368" i="10"/>
  <c r="U3791" i="10"/>
  <c r="U2144" i="10"/>
  <c r="U5043" i="10"/>
  <c r="U5259" i="10"/>
  <c r="U1529" i="10"/>
  <c r="U5077" i="10"/>
  <c r="U2143" i="10"/>
  <c r="U1307" i="10"/>
  <c r="U2054" i="10"/>
  <c r="U2469" i="10"/>
  <c r="U2404" i="10"/>
  <c r="U4366" i="10"/>
  <c r="U106" i="10"/>
  <c r="U2778" i="10"/>
  <c r="U2553" i="10"/>
  <c r="U3753" i="10"/>
  <c r="U4653" i="10"/>
  <c r="U1914" i="10"/>
  <c r="U2956" i="10"/>
  <c r="U1494" i="10"/>
  <c r="U3952" i="10"/>
  <c r="U4178" i="10"/>
  <c r="U2342" i="10"/>
  <c r="U2815" i="10"/>
  <c r="U2177" i="10"/>
  <c r="U3116" i="10"/>
  <c r="U1343" i="10"/>
  <c r="U2912" i="10"/>
  <c r="U4697" i="10"/>
  <c r="U1953" i="10"/>
  <c r="U4365" i="10"/>
  <c r="U2682" i="10"/>
  <c r="U5392" i="10"/>
  <c r="U2048" i="10"/>
  <c r="U4746" i="10"/>
  <c r="U2589" i="10"/>
  <c r="U2061" i="10"/>
  <c r="U1342" i="10"/>
  <c r="U4367" i="10"/>
  <c r="U2415" i="10"/>
  <c r="U1568" i="10"/>
  <c r="U1552" i="10"/>
  <c r="Q291" i="10"/>
  <c r="U291" i="10" s="1"/>
  <c r="Q1197" i="10"/>
  <c r="U1197" i="10" s="1"/>
  <c r="U1321" i="10"/>
  <c r="U2166" i="10"/>
  <c r="U3028" i="10"/>
  <c r="U104" i="10"/>
  <c r="U2877" i="10"/>
  <c r="U1601" i="10"/>
  <c r="U4882" i="10"/>
  <c r="U100" i="10"/>
  <c r="U5251" i="10"/>
  <c r="U4729" i="10"/>
  <c r="U4260" i="10"/>
  <c r="Q578" i="10"/>
  <c r="U578" i="10" s="1"/>
  <c r="U227" i="10"/>
  <c r="U688" i="10"/>
  <c r="U957" i="10"/>
  <c r="U5181" i="10"/>
  <c r="U3895" i="10"/>
  <c r="U5541" i="10"/>
  <c r="U2946" i="10"/>
  <c r="U5548" i="10"/>
  <c r="U2195" i="10"/>
  <c r="U3912" i="10"/>
  <c r="U2706" i="10"/>
  <c r="U1378" i="10"/>
  <c r="U1309" i="10"/>
  <c r="U1311" i="10"/>
  <c r="U1137" i="10"/>
  <c r="U2645" i="10"/>
  <c r="U2957" i="10"/>
  <c r="U1279" i="10"/>
  <c r="U2703" i="10"/>
  <c r="U2826" i="10"/>
  <c r="U3254" i="10"/>
  <c r="U2581" i="10"/>
  <c r="U4723" i="10"/>
  <c r="U1469" i="10"/>
  <c r="U4914" i="10"/>
  <c r="U2502" i="10"/>
  <c r="U3474" i="10"/>
  <c r="U2734" i="10"/>
  <c r="U5118" i="10"/>
  <c r="U1547" i="10"/>
  <c r="U1927" i="10"/>
  <c r="U4187" i="10"/>
  <c r="U2668" i="10"/>
  <c r="U3053" i="10"/>
  <c r="U4559" i="10"/>
  <c r="U4554" i="10"/>
  <c r="U2871" i="10"/>
  <c r="U2767" i="10"/>
  <c r="U4578" i="10"/>
  <c r="U1578" i="10"/>
  <c r="U2407" i="10"/>
  <c r="U2671" i="10"/>
  <c r="U3627" i="10"/>
  <c r="U2428" i="10"/>
  <c r="U3302" i="10"/>
  <c r="U1981" i="10"/>
  <c r="U3128" i="10"/>
  <c r="U1906" i="10"/>
  <c r="U2228" i="10"/>
  <c r="U1524" i="10"/>
  <c r="U1939" i="10"/>
  <c r="U2359" i="10"/>
  <c r="U2257" i="10"/>
  <c r="U1878" i="10"/>
  <c r="U2390" i="10"/>
  <c r="U300" i="10"/>
  <c r="U2550" i="10"/>
  <c r="U1566" i="10"/>
  <c r="U2664" i="10"/>
  <c r="U5278" i="10"/>
  <c r="U2517" i="10"/>
  <c r="U4191" i="10"/>
  <c r="U2580" i="10"/>
  <c r="U1098" i="10"/>
  <c r="U1492" i="10"/>
  <c r="U2955" i="10"/>
  <c r="U2861" i="10"/>
  <c r="U1377" i="10"/>
  <c r="U2694" i="10"/>
  <c r="Q726" i="10"/>
  <c r="U726" i="10" s="1"/>
  <c r="U1256" i="10"/>
  <c r="U4433" i="10"/>
  <c r="U3300" i="10"/>
  <c r="U3458" i="10"/>
  <c r="U1423" i="10"/>
  <c r="U3640" i="10"/>
  <c r="U1338" i="10"/>
  <c r="U2932" i="10"/>
  <c r="U1454" i="10"/>
  <c r="U3547" i="10"/>
  <c r="U5389" i="10"/>
  <c r="U4083" i="10"/>
  <c r="Q396" i="10"/>
  <c r="U396" i="10" s="1"/>
  <c r="U3622" i="10"/>
  <c r="U4005" i="10"/>
  <c r="U990" i="10"/>
  <c r="U2431" i="10"/>
  <c r="U3879" i="10"/>
  <c r="U1877" i="10"/>
  <c r="U2568" i="10"/>
  <c r="U2510" i="10"/>
  <c r="U2945" i="10"/>
  <c r="U3304" i="10"/>
  <c r="U2176" i="10"/>
  <c r="U2511" i="10"/>
  <c r="U1490" i="10"/>
  <c r="U1777" i="10"/>
  <c r="U1855" i="10"/>
  <c r="U1283" i="10"/>
  <c r="U2973" i="10"/>
  <c r="U2185" i="10"/>
  <c r="U2046" i="10"/>
  <c r="U3789" i="10"/>
  <c r="U2910" i="10"/>
  <c r="U5386" i="10"/>
  <c r="U5285" i="10"/>
  <c r="U2049" i="10"/>
  <c r="U5268" i="10"/>
  <c r="U5035" i="10"/>
  <c r="U2944" i="10"/>
  <c r="U1373" i="10"/>
  <c r="U3838" i="10"/>
  <c r="U5003" i="10"/>
  <c r="U3431" i="10"/>
  <c r="U4992" i="10"/>
  <c r="U1500" i="10"/>
  <c r="U3916" i="10"/>
  <c r="U1265" i="10"/>
  <c r="U1291" i="10"/>
  <c r="U2942" i="10"/>
  <c r="U3261" i="10"/>
  <c r="U5360" i="10"/>
  <c r="U3279" i="10"/>
  <c r="U2074" i="10"/>
  <c r="U2014" i="10"/>
  <c r="U3131" i="10"/>
  <c r="U1366" i="10"/>
  <c r="U4780" i="10"/>
  <c r="U2623" i="10"/>
  <c r="U3142" i="10"/>
  <c r="U2400" i="10"/>
  <c r="U2658" i="10"/>
  <c r="U1954" i="10"/>
  <c r="U1760" i="10"/>
  <c r="U1190" i="10"/>
  <c r="U3006" i="10"/>
  <c r="U1988" i="10"/>
  <c r="U2500" i="10"/>
  <c r="U4771" i="10"/>
  <c r="U2660" i="10"/>
  <c r="U1845" i="10"/>
  <c r="U3344" i="10"/>
  <c r="U3495" i="10"/>
  <c r="U2243" i="10"/>
  <c r="U2765" i="10"/>
  <c r="U1379" i="10"/>
  <c r="U1519" i="10"/>
  <c r="U3105" i="10"/>
  <c r="U4332" i="10"/>
  <c r="U2846" i="10"/>
  <c r="U5104" i="10"/>
  <c r="U1419" i="10"/>
  <c r="U1453" i="10"/>
  <c r="U1238" i="10"/>
  <c r="U1683" i="10"/>
  <c r="U4621" i="10"/>
  <c r="U2133" i="10"/>
  <c r="U1442" i="10"/>
  <c r="U1511" i="10"/>
  <c r="U1513" i="10"/>
  <c r="U1795" i="10"/>
  <c r="U1440" i="10"/>
  <c r="U840" i="10"/>
  <c r="U4673" i="10"/>
  <c r="U3937" i="10"/>
  <c r="Q390" i="10"/>
  <c r="U390" i="10" s="1"/>
  <c r="U2998" i="10"/>
  <c r="U4434" i="10"/>
  <c r="U155" i="10"/>
  <c r="U5057" i="10"/>
  <c r="U707" i="10"/>
  <c r="U1558" i="10"/>
  <c r="U1926" i="10"/>
  <c r="U3102" i="10"/>
  <c r="U3127" i="10"/>
  <c r="U326" i="10"/>
  <c r="U2263" i="10"/>
  <c r="U1639" i="10"/>
  <c r="U2016" i="10"/>
  <c r="U1248" i="10"/>
  <c r="U3382" i="10"/>
  <c r="U1586" i="10"/>
  <c r="U4937" i="10"/>
  <c r="U5067" i="10"/>
  <c r="U1174" i="10"/>
  <c r="U1999" i="10"/>
  <c r="U2891" i="10"/>
  <c r="U2251" i="10"/>
  <c r="U4669" i="10"/>
  <c r="U2959" i="10"/>
  <c r="U5342" i="10"/>
  <c r="U1900" i="10"/>
  <c r="U1594" i="10"/>
  <c r="U1332" i="10"/>
  <c r="U3234" i="10"/>
  <c r="U1868" i="10"/>
  <c r="U1292" i="10"/>
  <c r="U3749" i="10"/>
  <c r="U3634" i="10"/>
  <c r="U1910" i="10"/>
  <c r="U3134" i="10"/>
  <c r="U3351" i="10"/>
  <c r="U2161" i="10"/>
  <c r="U2007" i="10"/>
  <c r="U3628" i="10"/>
  <c r="U1807" i="10"/>
  <c r="U3080" i="10"/>
  <c r="U1141" i="10"/>
  <c r="U4791" i="10"/>
  <c r="U1572" i="10"/>
  <c r="U1532" i="10"/>
  <c r="U3925" i="10"/>
  <c r="U3555" i="10"/>
  <c r="U2487" i="10"/>
  <c r="U2999" i="10"/>
  <c r="U3288" i="10"/>
  <c r="U3282" i="10"/>
  <c r="U2387" i="10"/>
  <c r="U3314" i="10"/>
  <c r="U1367" i="10"/>
  <c r="U5162" i="10"/>
  <c r="U4050" i="10"/>
  <c r="U2764" i="10"/>
  <c r="U1571" i="10"/>
  <c r="U1298" i="10"/>
  <c r="U1065" i="10"/>
  <c r="U1722" i="10"/>
  <c r="U3846" i="10"/>
  <c r="U2160" i="10"/>
  <c r="U2819" i="10"/>
  <c r="U3256" i="10"/>
  <c r="U1284" i="10"/>
  <c r="U1837" i="10"/>
  <c r="U4080" i="10"/>
  <c r="U1829" i="10"/>
  <c r="Q1632" i="10"/>
  <c r="U1632" i="10" s="1"/>
  <c r="U1104" i="10"/>
  <c r="U2465" i="10"/>
  <c r="U1295" i="10"/>
  <c r="U5260" i="10"/>
  <c r="Q1670" i="10"/>
  <c r="U1670" i="10" s="1"/>
  <c r="Q1153" i="10"/>
  <c r="U1153" i="10" s="1"/>
  <c r="U4240" i="10"/>
  <c r="U4172" i="10"/>
  <c r="U1458" i="10"/>
  <c r="U1016" i="10"/>
  <c r="U3349" i="10"/>
  <c r="U3341" i="10"/>
  <c r="U41" i="10"/>
  <c r="U4735" i="10"/>
  <c r="U5357" i="10"/>
  <c r="U767" i="10"/>
  <c r="U3823" i="10"/>
  <c r="U3828" i="10"/>
  <c r="U2603" i="10"/>
  <c r="U3752" i="10"/>
  <c r="Q1784" i="10"/>
  <c r="U1784" i="10" s="1"/>
  <c r="U3205" i="10"/>
  <c r="U3419" i="10"/>
  <c r="U2788" i="10"/>
  <c r="U4629" i="10"/>
  <c r="U2518" i="10"/>
  <c r="U2922" i="10"/>
  <c r="U3492" i="10"/>
  <c r="U3135" i="10"/>
  <c r="U4796" i="10"/>
  <c r="U2890" i="10"/>
  <c r="U1412" i="10"/>
  <c r="U1310" i="10"/>
  <c r="U4916" i="10"/>
  <c r="U3981" i="10"/>
  <c r="U170" i="10"/>
  <c r="U1182" i="10"/>
  <c r="U4287" i="10"/>
  <c r="U1788" i="10"/>
  <c r="U1769" i="10"/>
  <c r="U1826" i="10"/>
  <c r="U3942" i="10"/>
  <c r="U2392" i="10"/>
  <c r="U5424" i="10"/>
  <c r="U5513" i="10"/>
  <c r="U1985" i="10"/>
  <c r="U3044" i="10"/>
  <c r="U1976" i="10"/>
  <c r="U1158" i="10"/>
  <c r="U4781" i="10"/>
  <c r="U2085" i="10"/>
  <c r="U3688" i="10"/>
  <c r="U3325" i="10"/>
  <c r="U1781" i="10"/>
  <c r="U2562" i="10"/>
  <c r="U4510" i="10"/>
  <c r="U5580" i="10"/>
  <c r="U1832" i="10"/>
  <c r="U932" i="10"/>
  <c r="U2540" i="10"/>
  <c r="U2565" i="10"/>
  <c r="U3077" i="10"/>
  <c r="U2373" i="10"/>
  <c r="U3520" i="10"/>
  <c r="U3137" i="10"/>
  <c r="U2783" i="10"/>
  <c r="U1477" i="10"/>
  <c r="U2027" i="10"/>
  <c r="U5332" i="10"/>
  <c r="U1546" i="10"/>
  <c r="U1846" i="10"/>
  <c r="U2911" i="10"/>
  <c r="U4991" i="10"/>
  <c r="U2728" i="10"/>
  <c r="U4053" i="10"/>
  <c r="U2398" i="10"/>
  <c r="U5356" i="10"/>
  <c r="U3365" i="10"/>
  <c r="U2165" i="10"/>
  <c r="U1771" i="10"/>
  <c r="U3882" i="10"/>
  <c r="U3394" i="10"/>
  <c r="Q1214" i="10"/>
  <c r="U1214" i="10" s="1"/>
  <c r="U1223" i="10"/>
  <c r="U4171" i="10"/>
  <c r="U2941" i="10"/>
  <c r="U2893" i="10"/>
  <c r="U2867" i="10"/>
  <c r="U1196" i="10"/>
  <c r="U2194" i="10"/>
  <c r="U1805" i="10"/>
  <c r="U2193" i="10"/>
  <c r="U4054" i="10"/>
  <c r="U5311" i="10"/>
  <c r="U4265" i="10"/>
  <c r="U5274" i="10"/>
  <c r="U1905" i="10"/>
  <c r="U4600" i="10"/>
  <c r="U856" i="10"/>
  <c r="U3456" i="10"/>
  <c r="U4960" i="10"/>
  <c r="U3041" i="10"/>
  <c r="U1961" i="10"/>
  <c r="U2655" i="10"/>
  <c r="U3917" i="10"/>
  <c r="U4748" i="10"/>
  <c r="U2017" i="10"/>
  <c r="U3453" i="10"/>
  <c r="U2628" i="10"/>
  <c r="U4939" i="10"/>
  <c r="U4106" i="10"/>
  <c r="U3638" i="10"/>
  <c r="U5175" i="10"/>
  <c r="U4686" i="10"/>
  <c r="U2554" i="10"/>
  <c r="U2484" i="10"/>
  <c r="U213" i="10"/>
  <c r="U3357" i="10"/>
  <c r="U4642" i="10"/>
  <c r="U1525" i="10"/>
  <c r="U2094" i="10"/>
  <c r="U2605" i="10"/>
  <c r="U3389" i="10"/>
  <c r="U2810" i="10"/>
  <c r="U4149" i="10"/>
  <c r="U1286" i="10"/>
  <c r="U3378" i="10"/>
  <c r="U4665" i="10"/>
  <c r="U2745" i="10"/>
  <c r="U3633" i="10"/>
  <c r="U1990" i="10"/>
  <c r="U3819" i="10"/>
  <c r="U3332" i="10"/>
  <c r="U2618" i="10"/>
  <c r="U1048" i="10"/>
  <c r="U3510" i="10"/>
  <c r="U1507" i="10"/>
  <c r="U3285" i="10"/>
  <c r="U1478" i="10"/>
  <c r="U2189" i="10"/>
  <c r="U4045" i="10"/>
  <c r="U4928" i="10"/>
  <c r="U5266" i="10"/>
  <c r="U2424" i="10"/>
  <c r="U3340" i="10"/>
  <c r="U3784" i="10"/>
  <c r="U1899" i="10"/>
  <c r="U2264" i="10"/>
  <c r="U2704" i="10"/>
  <c r="U1713" i="10"/>
  <c r="U4431" i="10"/>
  <c r="U3496" i="10"/>
  <c r="U4528" i="10"/>
  <c r="U1956" i="10"/>
  <c r="U2357" i="10"/>
  <c r="Q630" i="10"/>
  <c r="U630" i="10" s="1"/>
  <c r="U3655" i="10"/>
  <c r="U4824" i="10"/>
  <c r="U493" i="10"/>
  <c r="U4419" i="10"/>
  <c r="U5494" i="10"/>
  <c r="U524" i="10"/>
  <c r="U2377" i="10"/>
  <c r="U5525" i="10"/>
  <c r="U2842" i="10"/>
  <c r="U4459" i="10"/>
  <c r="U3712" i="10"/>
  <c r="U1775" i="10"/>
  <c r="U3744" i="10"/>
  <c r="U2168" i="10"/>
  <c r="U947" i="10"/>
  <c r="U3515" i="10"/>
  <c r="U2475" i="10"/>
  <c r="U1162" i="10"/>
  <c r="U1157" i="10"/>
  <c r="U2631" i="10"/>
  <c r="U2192" i="10"/>
  <c r="U2536" i="10"/>
  <c r="U1890" i="10"/>
  <c r="U3780" i="10"/>
  <c r="U1172" i="10"/>
  <c r="U5456" i="10"/>
  <c r="U1187" i="10"/>
  <c r="U4039" i="10"/>
  <c r="U2780" i="10"/>
  <c r="U2125" i="10"/>
  <c r="U1929" i="10"/>
  <c r="U5348" i="10"/>
  <c r="U1945" i="10"/>
  <c r="U1729" i="10"/>
  <c r="U878" i="10"/>
  <c r="U1768" i="10"/>
  <c r="U1962" i="10"/>
  <c r="U4170" i="10"/>
  <c r="U1770" i="10"/>
  <c r="U1930" i="10"/>
  <c r="U1322" i="10"/>
  <c r="U4959" i="10"/>
  <c r="U3620" i="10"/>
  <c r="U2806" i="10"/>
  <c r="U3554" i="10"/>
  <c r="U2579" i="10"/>
  <c r="U2364" i="10"/>
  <c r="U1903" i="10"/>
  <c r="U3552" i="10"/>
  <c r="U1365" i="10"/>
  <c r="U2438" i="10"/>
  <c r="U2093" i="10"/>
  <c r="U3786" i="10"/>
  <c r="U3450" i="10"/>
  <c r="U1285" i="10"/>
  <c r="U5296" i="10"/>
  <c r="U1778" i="10"/>
  <c r="U2768" i="10"/>
  <c r="U2369" i="10"/>
  <c r="U2482" i="10"/>
  <c r="U3151" i="10"/>
  <c r="U2083" i="10"/>
  <c r="U5511" i="10"/>
  <c r="U2417" i="10"/>
  <c r="U4761" i="10"/>
  <c r="U1922" i="10"/>
  <c r="U2198" i="10"/>
  <c r="U2882" i="10"/>
  <c r="U2608" i="10"/>
  <c r="U1758" i="10"/>
  <c r="U4140" i="10"/>
  <c r="U2370" i="10"/>
  <c r="U4143" i="10"/>
  <c r="U1241" i="10"/>
  <c r="U102" i="10"/>
  <c r="U1575" i="10"/>
  <c r="U2711" i="10"/>
  <c r="U1972" i="10"/>
  <c r="U1460" i="10"/>
  <c r="U3186" i="10"/>
  <c r="U2647" i="10"/>
  <c r="U2808" i="10"/>
  <c r="U4663" i="10"/>
  <c r="U3367" i="10"/>
  <c r="U425" i="10"/>
  <c r="U4412" i="10"/>
  <c r="U3644" i="10"/>
  <c r="U4026" i="10"/>
  <c r="U5431" i="10"/>
  <c r="U4198" i="10"/>
  <c r="U4884" i="10"/>
  <c r="U3192" i="10"/>
  <c r="U1294" i="10"/>
  <c r="U1595" i="10"/>
  <c r="U2269" i="10"/>
  <c r="U3957" i="10"/>
  <c r="U2182" i="10"/>
  <c r="U4646" i="10"/>
  <c r="U1276" i="10"/>
  <c r="U4879" i="10"/>
  <c r="U4427" i="10"/>
  <c r="U3636" i="10"/>
  <c r="U9" i="10"/>
  <c r="U2430" i="10"/>
  <c r="U5098" i="10"/>
  <c r="U1521" i="10"/>
  <c r="U4566" i="10"/>
  <c r="U1730" i="10"/>
  <c r="U5079" i="10"/>
  <c r="U4362" i="10"/>
  <c r="U4822" i="10"/>
  <c r="U1191" i="10"/>
  <c r="U3027" i="10"/>
  <c r="U3596" i="10"/>
  <c r="U3833" i="10"/>
  <c r="U1159" i="10"/>
  <c r="U2935" i="10"/>
  <c r="U4708" i="10"/>
  <c r="U3635" i="10"/>
  <c r="U5195" i="10"/>
  <c r="U3498" i="10"/>
  <c r="U3755" i="10"/>
  <c r="U2838" i="10"/>
  <c r="U3343" i="10"/>
  <c r="U2002" i="10"/>
  <c r="U3113" i="10"/>
  <c r="U1892" i="10"/>
  <c r="U2262" i="10"/>
  <c r="U2146" i="10"/>
  <c r="U1302" i="10"/>
  <c r="U1150" i="10"/>
  <c r="U3665" i="10"/>
  <c r="U3746" i="10"/>
  <c r="U2834" i="10"/>
  <c r="U1116" i="10"/>
  <c r="U3224" i="10"/>
  <c r="U4299" i="10"/>
  <c r="U5482" i="10"/>
  <c r="U3338" i="10"/>
  <c r="U3296" i="10"/>
  <c r="U1982" i="10"/>
  <c r="U4896" i="10"/>
  <c r="U1952" i="10"/>
  <c r="U1247" i="10"/>
  <c r="U3610" i="10"/>
  <c r="U4608" i="10"/>
  <c r="U3407" i="10"/>
  <c r="U3926" i="10"/>
  <c r="U831" i="10"/>
  <c r="U4859" i="10"/>
  <c r="U5032" i="10"/>
  <c r="U2929" i="10"/>
  <c r="U4405" i="10"/>
  <c r="U2541" i="10"/>
  <c r="U2106" i="10"/>
  <c r="U1995" i="10"/>
  <c r="U3535" i="10"/>
  <c r="U4043" i="10"/>
  <c r="U3063" i="10"/>
  <c r="U1063" i="10"/>
  <c r="U4013" i="10"/>
  <c r="U3404" i="10"/>
  <c r="U2454" i="10"/>
  <c r="U2705" i="10"/>
  <c r="U3402" i="10"/>
  <c r="U1372" i="10"/>
  <c r="U3706" i="10"/>
  <c r="U1163" i="10"/>
  <c r="U1130" i="10"/>
  <c r="U3326" i="10"/>
  <c r="U5543" i="10"/>
  <c r="U2171" i="10"/>
  <c r="U3534" i="10"/>
  <c r="U3690" i="10"/>
  <c r="U5173" i="10"/>
  <c r="U2010" i="10"/>
  <c r="U1538" i="10"/>
  <c r="U2460" i="10"/>
  <c r="U3976" i="10"/>
  <c r="U4907" i="10"/>
  <c r="U1989" i="10"/>
  <c r="U4595" i="10"/>
  <c r="U1548" i="10"/>
  <c r="U1515" i="10"/>
  <c r="U3213" i="10"/>
  <c r="U2096" i="10"/>
  <c r="U1924" i="10"/>
  <c r="U2800" i="10"/>
  <c r="U2740" i="10"/>
  <c r="U2542" i="10"/>
  <c r="U1978" i="10"/>
  <c r="U2045" i="10"/>
  <c r="U3480" i="10"/>
  <c r="U1508" i="10"/>
  <c r="U2582" i="10"/>
  <c r="U4081" i="10"/>
  <c r="U3472" i="10"/>
  <c r="U2209" i="10"/>
  <c r="U1792" i="10"/>
  <c r="U2214" i="10"/>
  <c r="U5228" i="10"/>
  <c r="U2762" i="10"/>
  <c r="U2426" i="10"/>
  <c r="U1271" i="10"/>
  <c r="U2974" i="10"/>
  <c r="U3430" i="10"/>
  <c r="U1147" i="10"/>
  <c r="U1681" i="10"/>
  <c r="U2442" i="10"/>
  <c r="U3111" i="10"/>
  <c r="U2617" i="10"/>
  <c r="U3809" i="10"/>
  <c r="U2613" i="10"/>
  <c r="U3831" i="10"/>
  <c r="U1800" i="10"/>
  <c r="U1327" i="10"/>
  <c r="U3909" i="10"/>
  <c r="U4166" i="10"/>
  <c r="U5340" i="10"/>
  <c r="U791" i="10"/>
  <c r="U4281" i="10"/>
  <c r="U3564" i="10"/>
  <c r="U638" i="10"/>
  <c r="E12" i="10"/>
  <c r="F12" i="10" s="1"/>
  <c r="U70" i="10"/>
  <c r="U3206" i="10"/>
  <c r="U3392" i="10"/>
  <c r="U4808" i="10"/>
  <c r="U1932" i="10"/>
  <c r="U2117" i="10"/>
  <c r="U5055" i="10"/>
  <c r="U1871" i="10"/>
  <c r="U3676" i="10"/>
  <c r="U1540" i="10"/>
  <c r="U1325" i="10"/>
  <c r="U5388" i="10"/>
  <c r="U1361" i="10"/>
  <c r="U2985" i="10"/>
  <c r="U4815" i="10"/>
  <c r="U4395" i="10"/>
  <c r="U1526" i="10"/>
  <c r="U3531" i="10"/>
  <c r="U2570" i="10"/>
  <c r="U1011" i="10"/>
  <c r="U4685" i="10"/>
  <c r="U3994" i="10"/>
  <c r="U1992" i="10"/>
  <c r="U2904" i="10"/>
  <c r="U2514" i="10"/>
  <c r="U3406" i="10"/>
  <c r="U1357" i="10"/>
  <c r="U1369" i="10"/>
  <c r="U3745" i="10"/>
  <c r="U3477" i="10"/>
  <c r="U2423" i="10"/>
  <c r="U1170" i="10"/>
  <c r="U3600" i="10"/>
  <c r="U2391" i="10"/>
  <c r="U1823" i="10"/>
  <c r="U1603" i="10"/>
  <c r="U3446" i="10"/>
  <c r="U2121" i="10"/>
  <c r="U2543" i="10"/>
  <c r="U1319" i="10"/>
  <c r="U1497" i="10"/>
  <c r="U2692" i="10"/>
  <c r="U3913" i="10"/>
  <c r="U1356" i="10"/>
  <c r="U2451" i="10"/>
  <c r="U2963" i="10"/>
  <c r="U3678" i="10"/>
  <c r="U3779" i="10"/>
  <c r="U2200" i="10"/>
  <c r="U2779" i="10"/>
  <c r="U2437" i="10"/>
  <c r="U1680" i="10"/>
  <c r="U5518" i="10"/>
  <c r="U1801" i="10"/>
  <c r="U2271" i="10"/>
  <c r="U4238" i="10"/>
  <c r="U3022" i="10"/>
  <c r="U1959" i="10"/>
  <c r="U4209" i="10"/>
  <c r="U1251" i="10"/>
  <c r="U198" i="10"/>
  <c r="U3641" i="10"/>
  <c r="U4906" i="10"/>
  <c r="U857" i="10"/>
  <c r="U200" i="10"/>
  <c r="U3900" i="10"/>
  <c r="U424" i="10"/>
  <c r="U5303" i="10"/>
  <c r="U4764" i="10"/>
  <c r="U402" i="10"/>
  <c r="U3177" i="10"/>
  <c r="U1660" i="10"/>
  <c r="U3560" i="10"/>
  <c r="U1522" i="10"/>
  <c r="U3967" i="10"/>
  <c r="U4944" i="10"/>
  <c r="U3853" i="10"/>
  <c r="U3026" i="10"/>
  <c r="U2365" i="10"/>
  <c r="U3018" i="10"/>
  <c r="U3432" i="10"/>
  <c r="U4752" i="10"/>
  <c r="U1767" i="10"/>
  <c r="U2015" i="10"/>
  <c r="U3813" i="10"/>
  <c r="U3023" i="10"/>
  <c r="U1830" i="10"/>
  <c r="U1700" i="10"/>
  <c r="U461" i="10"/>
  <c r="U4210" i="10"/>
  <c r="U4710" i="10"/>
  <c r="U2638" i="10"/>
  <c r="U5346" i="10"/>
  <c r="U4876" i="10"/>
  <c r="U1894" i="10"/>
  <c r="U3008" i="10"/>
  <c r="U5018" i="10"/>
  <c r="U1881" i="10"/>
  <c r="U1862" i="10"/>
  <c r="U4534" i="10"/>
  <c r="U2449" i="10"/>
  <c r="U1413" i="10"/>
  <c r="U1824" i="10"/>
  <c r="U1554" i="10"/>
  <c r="U1381" i="10"/>
  <c r="U1142" i="10"/>
  <c r="U3065" i="10"/>
  <c r="U3556" i="10"/>
  <c r="U2742" i="10"/>
  <c r="U4300" i="10"/>
  <c r="U3033" i="10"/>
  <c r="U1895" i="10"/>
  <c r="U1657" i="10"/>
  <c r="U4509" i="10"/>
  <c r="U5202" i="10"/>
  <c r="U2018" i="10"/>
  <c r="U2784" i="10"/>
  <c r="U2349" i="10"/>
  <c r="U3989" i="10"/>
  <c r="U3333" i="10"/>
  <c r="U4204" i="10"/>
  <c r="U2113" i="10"/>
  <c r="U4335" i="10"/>
  <c r="U4730" i="10"/>
  <c r="U4464" i="10"/>
  <c r="U1718" i="10"/>
  <c r="U1583" i="10"/>
  <c r="U2717" i="10"/>
  <c r="U4527" i="10"/>
  <c r="U3848" i="10"/>
  <c r="U1818" i="10"/>
  <c r="U3315" i="10"/>
  <c r="U1393" i="10"/>
  <c r="U3354" i="10"/>
  <c r="U5053" i="10"/>
  <c r="U4722" i="10"/>
  <c r="U945" i="10"/>
  <c r="U659" i="10"/>
  <c r="U1627" i="10"/>
  <c r="U5571" i="10"/>
  <c r="U752" i="10"/>
  <c r="U1941" i="10"/>
  <c r="U2467" i="10"/>
  <c r="U2103" i="10"/>
  <c r="U5420" i="10"/>
  <c r="U2627" i="10"/>
  <c r="U2898" i="10"/>
  <c r="U1679" i="10"/>
  <c r="U5512" i="10"/>
  <c r="U2546" i="10"/>
  <c r="U3983" i="10"/>
  <c r="U2157" i="10"/>
  <c r="U2641" i="10"/>
  <c r="U1569" i="10"/>
  <c r="U2485" i="10"/>
  <c r="U4021" i="10"/>
  <c r="U2366" i="10"/>
  <c r="U1815" i="10"/>
  <c r="U3677" i="10"/>
  <c r="U3585" i="10"/>
  <c r="U3123" i="10"/>
  <c r="U3486" i="10"/>
  <c r="U2163" i="10"/>
  <c r="U5528" i="10"/>
  <c r="U1838" i="10"/>
  <c r="U1466" i="10"/>
  <c r="U2649" i="10"/>
  <c r="U4159" i="10"/>
  <c r="U2247" i="10"/>
  <c r="U1337" i="10"/>
  <c r="U487" i="10"/>
  <c r="U3007" i="10"/>
  <c r="U2360" i="10"/>
  <c r="U3350" i="10"/>
  <c r="U2080" i="10"/>
  <c r="U3470" i="10"/>
  <c r="U2019" i="10"/>
  <c r="U2088" i="10"/>
  <c r="U1562" i="10"/>
  <c r="U2852" i="10"/>
  <c r="U1854" i="10"/>
  <c r="U2056" i="10"/>
  <c r="U3787" i="10"/>
  <c r="U4620" i="10"/>
  <c r="U1852" i="10"/>
  <c r="U1301" i="10"/>
  <c r="U1127" i="10"/>
  <c r="U2931" i="10"/>
  <c r="U2524" i="10"/>
  <c r="U3469" i="10"/>
  <c r="U4747" i="10"/>
  <c r="U4968" i="10"/>
  <c r="U3319" i="10"/>
  <c r="U1273" i="10"/>
  <c r="U3822" i="10"/>
  <c r="U2418" i="10"/>
  <c r="U2884" i="10"/>
  <c r="U2109" i="10"/>
  <c r="U2708" i="10"/>
  <c r="U2353" i="10"/>
  <c r="U3148" i="10"/>
  <c r="U2824" i="10"/>
  <c r="U4108" i="10"/>
  <c r="U3262" i="10"/>
  <c r="U2925" i="10"/>
  <c r="O6" i="10"/>
  <c r="U1028" i="10"/>
  <c r="U5029" i="10"/>
  <c r="U3631" i="10"/>
  <c r="D10" i="10"/>
  <c r="F10" i="10" s="1"/>
  <c r="U4940" i="10"/>
  <c r="U905" i="10"/>
  <c r="U4231" i="10"/>
  <c r="U5498" i="10"/>
  <c r="U2023" i="10"/>
  <c r="U2895" i="10"/>
  <c r="U2207" i="10"/>
  <c r="U1121" i="10"/>
  <c r="U3410" i="10"/>
  <c r="U4633" i="10"/>
  <c r="U3040" i="10"/>
  <c r="U1809" i="10"/>
  <c r="U4495" i="10"/>
  <c r="U2175" i="10"/>
  <c r="U2853" i="10"/>
  <c r="U2211" i="10"/>
  <c r="U4233" i="10"/>
  <c r="U1589" i="10"/>
  <c r="U1695" i="10"/>
  <c r="U1580" i="10"/>
  <c r="U3003" i="10"/>
  <c r="U2849" i="10"/>
  <c r="U2761" i="10"/>
  <c r="U2913" i="10"/>
  <c r="U803" i="10"/>
  <c r="U2684" i="10"/>
  <c r="U1799" i="10"/>
  <c r="U2696" i="10"/>
  <c r="U2733" i="10"/>
  <c r="U4812" i="10"/>
  <c r="U2498" i="10"/>
  <c r="U4353" i="10"/>
  <c r="U3064" i="10"/>
  <c r="U1254" i="10"/>
  <c r="U2436" i="10"/>
  <c r="U3160" i="10"/>
  <c r="U2858" i="10"/>
  <c r="U1879" i="10"/>
  <c r="U3098" i="10"/>
  <c r="U2600" i="10"/>
  <c r="U3387" i="10"/>
  <c r="U1473" i="10"/>
  <c r="U2644" i="10"/>
  <c r="U1615" i="10"/>
  <c r="U2253" i="10"/>
  <c r="U2930" i="10"/>
  <c r="U3682" i="10"/>
  <c r="U2548" i="10"/>
  <c r="U4593" i="10"/>
  <c r="U1493" i="10"/>
  <c r="U4858" i="10"/>
  <c r="U2636" i="10"/>
  <c r="U4472" i="10"/>
  <c r="U2820" i="10"/>
  <c r="U4970" i="10"/>
  <c r="U1264" i="10"/>
  <c r="U1888" i="10"/>
  <c r="U1682" i="10"/>
  <c r="U3101" i="10"/>
  <c r="U3138" i="10"/>
  <c r="U1887" i="10"/>
  <c r="U647" i="10"/>
  <c r="U4687" i="10"/>
  <c r="U3551" i="10"/>
  <c r="U1268" i="10"/>
  <c r="U1167" i="10"/>
  <c r="U1937" i="10"/>
  <c r="U4538" i="10"/>
  <c r="U4051" i="10"/>
  <c r="U4148" i="10"/>
  <c r="U3226" i="10"/>
  <c r="U3417" i="10"/>
  <c r="U3898" i="10"/>
  <c r="U1061" i="10"/>
  <c r="U5014" i="10"/>
  <c r="U3169" i="10"/>
  <c r="U2181" i="10"/>
  <c r="U2607" i="10"/>
  <c r="U4589" i="10"/>
  <c r="U1395" i="10"/>
  <c r="U1761" i="10"/>
  <c r="U5445" i="10"/>
  <c r="U3542" i="10"/>
  <c r="U2367" i="10"/>
  <c r="U2879" i="10"/>
  <c r="U2678" i="10"/>
  <c r="U4312" i="10"/>
  <c r="U3553" i="10"/>
  <c r="U4095" i="10"/>
  <c r="U2914" i="10"/>
  <c r="U1933" i="10"/>
  <c r="U3342" i="10"/>
  <c r="U3512" i="10"/>
  <c r="U3674" i="10"/>
  <c r="U5304" i="10"/>
  <c r="U2714" i="10"/>
  <c r="U4064" i="10"/>
  <c r="U2952" i="10"/>
  <c r="U3514" i="10"/>
  <c r="U5520" i="10"/>
  <c r="U3843" i="10"/>
  <c r="U2379" i="10"/>
  <c r="U2899" i="10"/>
  <c r="U3680" i="10"/>
  <c r="U3078" i="10"/>
  <c r="U5578" i="10"/>
  <c r="U1848" i="10"/>
  <c r="U3174" i="10"/>
  <c r="U2405" i="10"/>
  <c r="U1348" i="10"/>
  <c r="U2217" i="10"/>
  <c r="U4270" i="10"/>
  <c r="U1896" i="10"/>
  <c r="U4945" i="10"/>
  <c r="U3074" i="10"/>
  <c r="U3165" i="10"/>
  <c r="U1308" i="10"/>
  <c r="U1336" i="10"/>
  <c r="U1944" i="10"/>
  <c r="U2978" i="10"/>
  <c r="U3978" i="10"/>
  <c r="U2818" i="10"/>
  <c r="U910" i="10"/>
  <c r="U1468" i="10"/>
  <c r="U5425" i="10"/>
  <c r="U4458" i="10"/>
  <c r="U5515" i="10"/>
  <c r="U2590" i="10"/>
  <c r="U1270" i="10"/>
  <c r="U2208" i="10"/>
  <c r="U1487" i="10"/>
  <c r="U2837" i="10"/>
  <c r="U1269" i="10"/>
  <c r="U4449" i="10"/>
  <c r="U2513" i="10"/>
  <c r="U4091" i="10"/>
  <c r="U1762" i="10"/>
  <c r="U2569" i="10"/>
  <c r="U2908" i="10"/>
  <c r="U4224" i="10"/>
  <c r="U561" i="10"/>
  <c r="U5441" i="10"/>
  <c r="U977" i="10"/>
  <c r="U2997" i="10"/>
  <c r="U5523" i="10"/>
  <c r="U1060" i="10"/>
  <c r="U5308" i="10"/>
  <c r="U1617" i="10"/>
  <c r="U1181" i="10"/>
  <c r="U3071" i="10"/>
  <c r="U2598" i="10"/>
  <c r="U3265" i="10"/>
  <c r="U2936" i="10"/>
  <c r="U4540" i="10"/>
  <c r="U3652" i="10"/>
  <c r="U2801" i="10"/>
  <c r="U1943" i="10"/>
  <c r="U2371" i="10"/>
  <c r="U5486" i="10"/>
  <c r="U1388" i="10"/>
  <c r="U1383" i="10"/>
  <c r="U2577" i="10"/>
  <c r="U1949" i="10"/>
  <c r="U2863" i="10"/>
  <c r="U2439" i="10"/>
  <c r="U2506" i="10"/>
  <c r="U204" i="10"/>
  <c r="U1514" i="10"/>
  <c r="U2584" i="10"/>
  <c r="U4141" i="10"/>
  <c r="U1316" i="10"/>
  <c r="U2450" i="10"/>
  <c r="U4241" i="10"/>
  <c r="U4720" i="10"/>
  <c r="U3954" i="10"/>
  <c r="U2934" i="10"/>
  <c r="U3397" i="10"/>
  <c r="U2443" i="10"/>
  <c r="U1957" i="10"/>
  <c r="U4330" i="10"/>
  <c r="U5514" i="10"/>
  <c r="U1847" i="10"/>
  <c r="U2805" i="10"/>
  <c r="U1776" i="10"/>
  <c r="U4109" i="10"/>
  <c r="U3910" i="10"/>
  <c r="U2773" i="10"/>
  <c r="U2132" i="10"/>
  <c r="U2453" i="10"/>
  <c r="U1350" i="10"/>
  <c r="U1958" i="10"/>
  <c r="U1849" i="10"/>
  <c r="U1917" i="10"/>
  <c r="U3159" i="10"/>
  <c r="U4740" i="10"/>
  <c r="U2388" i="10"/>
  <c r="U4700" i="10"/>
  <c r="U2025" i="10"/>
  <c r="U918" i="10"/>
  <c r="U2869" i="10"/>
  <c r="U1476" i="10"/>
  <c r="U1143" i="10"/>
  <c r="U4142" i="10"/>
  <c r="U2563" i="10"/>
  <c r="U3650" i="10"/>
  <c r="U3854" i="10"/>
  <c r="U2047" i="10"/>
  <c r="U5287" i="10"/>
  <c r="U2072" i="10"/>
  <c r="U5363" i="10"/>
  <c r="U984" i="10"/>
  <c r="U4799" i="10"/>
  <c r="U4953" i="10"/>
  <c r="U34" i="10"/>
  <c r="U1979" i="10"/>
  <c r="U1587" i="10"/>
  <c r="U3246" i="10"/>
  <c r="U5337" i="10"/>
  <c r="U4514" i="10"/>
  <c r="U2676" i="10"/>
  <c r="U2204" i="10"/>
  <c r="U4604" i="10"/>
  <c r="U1517" i="10"/>
  <c r="U2950" i="10"/>
  <c r="U117" i="10"/>
  <c r="U4588" i="10"/>
  <c r="U1387" i="10"/>
  <c r="U2021" i="10"/>
  <c r="U2642" i="10"/>
  <c r="U4762" i="10"/>
  <c r="U5235" i="10"/>
  <c r="U3742" i="10"/>
  <c r="U2111" i="10"/>
  <c r="U5553" i="10"/>
  <c r="U2754" i="10"/>
  <c r="U5004" i="10"/>
  <c r="U5516" i="10"/>
  <c r="U4675" i="10"/>
  <c r="U5073" i="10"/>
  <c r="U3811" i="10"/>
  <c r="U2445" i="10"/>
  <c r="U3060" i="10"/>
  <c r="U1920" i="10"/>
  <c r="U5271" i="10"/>
  <c r="U1618" i="10"/>
  <c r="U1766" i="10"/>
  <c r="U1541" i="10"/>
  <c r="U2385" i="10"/>
  <c r="U4843" i="10"/>
  <c r="U1816" i="10"/>
  <c r="U3658" i="10"/>
  <c r="U2057" i="10"/>
  <c r="U1918" i="10"/>
  <c r="U2531" i="10"/>
  <c r="U3038" i="10"/>
  <c r="U2766" i="10"/>
  <c r="U4117" i="10"/>
  <c r="U2499" i="10"/>
  <c r="U1506" i="10"/>
  <c r="U2179" i="10"/>
  <c r="U3448" i="10"/>
  <c r="U4460" i="10"/>
  <c r="U1126" i="10"/>
  <c r="U5023" i="10"/>
  <c r="U3237" i="10"/>
  <c r="U4627" i="10"/>
  <c r="U1794" i="10"/>
  <c r="U689" i="10"/>
  <c r="U3255" i="10"/>
  <c r="U4071" i="10"/>
  <c r="U2595" i="10"/>
  <c r="U4138" i="10"/>
  <c r="U2403" i="10"/>
  <c r="U2917" i="10"/>
  <c r="U2127" i="10"/>
  <c r="U2586" i="10"/>
  <c r="U4919" i="10"/>
  <c r="U2356" i="10"/>
  <c r="U3455" i="10"/>
  <c r="U2086" i="10"/>
  <c r="U1054" i="10"/>
  <c r="U2099" i="10"/>
  <c r="U2870" i="10"/>
  <c r="U2034" i="10"/>
  <c r="U1424" i="10"/>
  <c r="U1421" i="10"/>
  <c r="U1195" i="10"/>
  <c r="U1346" i="10"/>
  <c r="U2630" i="10"/>
  <c r="Q1736" i="10"/>
  <c r="U1736" i="10" s="1"/>
  <c r="U1444" i="10"/>
  <c r="U2098" i="10"/>
  <c r="U1844" i="10"/>
  <c r="U3268" i="10"/>
  <c r="U2124" i="10"/>
  <c r="U1204" i="10"/>
  <c r="Q1703" i="10"/>
  <c r="U1703" i="10" s="1"/>
  <c r="U1450" i="10"/>
  <c r="Q1640" i="10"/>
  <c r="U1640" i="10" s="1"/>
  <c r="Q1625" i="10"/>
  <c r="U1625" i="10" s="1"/>
  <c r="U1437" i="10"/>
  <c r="U1441" i="10"/>
  <c r="U4272" i="10"/>
  <c r="U2720" i="10"/>
  <c r="Q1685" i="10"/>
  <c r="U1685" i="10" s="1"/>
  <c r="U4331" i="10"/>
  <c r="U2351" i="10"/>
  <c r="U1037" i="10"/>
  <c r="U3440" i="10"/>
  <c r="U3466" i="10"/>
  <c r="U1472" i="10"/>
  <c r="Q1687" i="10"/>
  <c r="U1687" i="10" s="1"/>
  <c r="U1426" i="10"/>
  <c r="O1083" i="10"/>
  <c r="Q1083" i="10" s="1"/>
  <c r="U1083" i="10" s="1"/>
  <c r="U3426" i="10"/>
  <c r="U1201" i="10"/>
  <c r="U3217" i="10"/>
  <c r="U2344" i="10"/>
  <c r="U3850" i="10"/>
  <c r="U2433" i="10"/>
  <c r="U4014" i="10"/>
  <c r="U2012" i="10"/>
  <c r="U1228" i="10"/>
  <c r="U2005" i="10"/>
  <c r="U1439" i="10"/>
  <c r="U96" i="10"/>
  <c r="U1160" i="10"/>
  <c r="U1429" i="10"/>
  <c r="U1417" i="10"/>
  <c r="U3061" i="10"/>
  <c r="U1901" i="10"/>
  <c r="Q1704" i="10"/>
  <c r="U1704" i="10" s="1"/>
  <c r="U2830" i="10"/>
  <c r="U2620" i="10"/>
  <c r="U2906" i="10"/>
  <c r="U2190" i="10"/>
  <c r="Q1633" i="10"/>
  <c r="U1633" i="10" s="1"/>
  <c r="U2775" i="10"/>
  <c r="Q1611" i="10"/>
  <c r="U1611" i="10" s="1"/>
  <c r="U5579" i="10"/>
  <c r="Q1154" i="10"/>
  <c r="U1154" i="10" s="1"/>
  <c r="U1728" i="10"/>
  <c r="U3345" i="10"/>
  <c r="U2441" i="10"/>
  <c r="U1260" i="10"/>
  <c r="U1520" i="10"/>
  <c r="U2070" i="10"/>
  <c r="Q1708" i="10"/>
  <c r="U1708" i="10" s="1"/>
  <c r="U2233" i="10"/>
  <c r="U1257" i="10"/>
  <c r="U1443" i="10"/>
  <c r="U1420" i="10"/>
  <c r="U1415" i="10"/>
  <c r="U2633" i="10"/>
  <c r="U3107" i="10"/>
  <c r="Q1152" i="10"/>
  <c r="U1152" i="10" s="1"/>
  <c r="U98" i="10"/>
  <c r="U42" i="10"/>
  <c r="U2013" i="10"/>
  <c r="U1720" i="10"/>
  <c r="U1503" i="10"/>
  <c r="U1885" i="10"/>
  <c r="U1702" i="10"/>
  <c r="Q1742" i="10"/>
  <c r="U1742" i="10" s="1"/>
  <c r="U2156" i="10"/>
  <c r="Q1709" i="10"/>
  <c r="U1709" i="10" s="1"/>
  <c r="U1305" i="10"/>
  <c r="U1715" i="10"/>
  <c r="U3793" i="10"/>
  <c r="U1210" i="10"/>
  <c r="U1567" i="10"/>
  <c r="U2180" i="10"/>
  <c r="Q1623" i="10"/>
  <c r="U1623" i="10" s="1"/>
  <c r="U1250" i="10"/>
  <c r="Q1668" i="10"/>
  <c r="U1668" i="10" s="1"/>
  <c r="U1427" i="10"/>
  <c r="U1451" i="10"/>
  <c r="U1545" i="10"/>
  <c r="U4874" i="10"/>
  <c r="U1461" i="10"/>
  <c r="U2585" i="10"/>
  <c r="U2962" i="10"/>
  <c r="U1694" i="10"/>
  <c r="U4974" i="10"/>
  <c r="U4239" i="10"/>
  <c r="Q1244" i="10"/>
  <c r="U1244" i="10" s="1"/>
  <c r="U1081" i="10"/>
  <c r="U1446" i="10"/>
  <c r="U3121" i="10"/>
  <c r="U3950" i="10"/>
  <c r="U4144" i="10"/>
  <c r="U3616" i="10"/>
  <c r="U4569" i="10"/>
  <c r="U105" i="10"/>
  <c r="Q1740" i="10"/>
  <c r="U1740" i="10" s="1"/>
  <c r="U2576" i="10"/>
  <c r="U3126" i="10"/>
  <c r="Q1245" i="10"/>
  <c r="U1245" i="10" s="1"/>
  <c r="U3858" i="10"/>
  <c r="U5037" i="10"/>
  <c r="U3298" i="10"/>
  <c r="Q1739" i="10"/>
  <c r="U1739" i="10" s="1"/>
  <c r="U1543" i="10"/>
  <c r="U1392" i="10"/>
  <c r="O1200" i="10"/>
  <c r="Q1200" i="10" s="1"/>
  <c r="U1200" i="10" s="1"/>
  <c r="U1208" i="10"/>
  <c r="U1549" i="10"/>
  <c r="U1146" i="10"/>
  <c r="U2408" i="10"/>
  <c r="Q1747" i="10"/>
  <c r="U1747" i="10" s="1"/>
  <c r="U2226" i="10"/>
  <c r="U1179" i="10"/>
  <c r="U1087" i="10"/>
  <c r="U2033" i="10"/>
  <c r="U3167" i="10"/>
  <c r="U2494" i="10"/>
  <c r="U2130" i="10"/>
  <c r="U4915" i="10"/>
  <c r="U1178" i="10"/>
  <c r="U2736" i="10"/>
  <c r="U1765" i="10"/>
  <c r="U2688" i="10"/>
  <c r="U1908" i="10"/>
  <c r="U3178" i="10"/>
  <c r="U1207" i="10"/>
  <c r="U1457" i="10"/>
  <c r="U3214" i="10"/>
  <c r="U2845" i="10"/>
  <c r="Q1219" i="10"/>
  <c r="U1219" i="10" s="1"/>
  <c r="U1422" i="10"/>
  <c r="Q1737" i="10"/>
  <c r="U1737" i="10" s="1"/>
  <c r="U5038" i="10"/>
  <c r="U2712" i="10"/>
  <c r="U2363" i="10"/>
  <c r="Q1626" i="10"/>
  <c r="U1626" i="10" s="1"/>
  <c r="Q1734" i="10"/>
  <c r="U1997" i="10"/>
  <c r="U2537" i="10"/>
  <c r="U2803" i="10"/>
  <c r="U4376" i="10"/>
  <c r="U5263" i="10"/>
  <c r="U4591" i="10"/>
  <c r="U3089" i="10"/>
  <c r="U4557" i="10"/>
  <c r="U2060" i="10"/>
  <c r="U1759" i="10"/>
  <c r="U3982" i="10"/>
  <c r="U2561" i="10"/>
  <c r="U3362" i="10"/>
  <c r="U3794" i="10"/>
  <c r="U1108" i="10"/>
  <c r="U1719" i="10"/>
  <c r="U1651" i="10"/>
  <c r="U1255" i="10"/>
  <c r="Q1180" i="10"/>
  <c r="U1180" i="10" s="1"/>
  <c r="U1797" i="10"/>
  <c r="Q1672" i="10"/>
  <c r="U1672" i="10" s="1"/>
  <c r="U2544" i="10"/>
  <c r="U1370" i="10"/>
  <c r="U1449" i="10"/>
  <c r="U4497" i="10"/>
  <c r="Q1621" i="10"/>
  <c r="U1621" i="10" s="1"/>
  <c r="U2743" i="10"/>
  <c r="U1224" i="10"/>
  <c r="U4682" i="10"/>
  <c r="U1951" i="10"/>
  <c r="U2782" i="10"/>
  <c r="U2473" i="10"/>
  <c r="U5199" i="10"/>
  <c r="U1213" i="10"/>
  <c r="U2229" i="10"/>
  <c r="U2383" i="10"/>
  <c r="U4938" i="10"/>
  <c r="U5451" i="10"/>
  <c r="U2528" i="10"/>
  <c r="U1452" i="10"/>
  <c r="U1919" i="10"/>
  <c r="U1290" i="10"/>
  <c r="U1891" i="10"/>
  <c r="U1230" i="10"/>
  <c r="U2993" i="10"/>
  <c r="Q1630" i="10"/>
  <c r="U1630" i="10" s="1"/>
  <c r="U1955" i="10"/>
  <c r="U1726" i="10"/>
  <c r="U3242" i="10"/>
  <c r="U2092" i="10"/>
  <c r="U2755" i="10"/>
  <c r="U3158" i="10"/>
  <c r="U2794" i="10"/>
  <c r="U5489" i="10"/>
  <c r="U3100" i="10"/>
  <c r="U2250" i="10"/>
  <c r="U2744" i="10"/>
  <c r="U1433" i="10"/>
  <c r="U3099" i="10"/>
  <c r="U2201" i="10"/>
  <c r="U3859" i="10"/>
  <c r="U3172" i="10"/>
  <c r="U1233" i="10"/>
  <c r="U2972" i="10"/>
  <c r="U1727" i="10"/>
  <c r="U395" i="10"/>
  <c r="U2909" i="10"/>
  <c r="U2065" i="10"/>
  <c r="U3891" i="10"/>
  <c r="Q1613" i="10"/>
  <c r="U1613" i="10" s="1"/>
  <c r="U2923" i="10"/>
  <c r="Q1743" i="10"/>
  <c r="U1743" i="10" s="1"/>
  <c r="U2069" i="10"/>
  <c r="U1259" i="10"/>
  <c r="U1198" i="10"/>
  <c r="U2591" i="10"/>
  <c r="U3559" i="10"/>
  <c r="U3494" i="10"/>
  <c r="U2108" i="10"/>
  <c r="U101" i="10"/>
  <c r="U1773" i="10"/>
  <c r="U2447" i="10"/>
  <c r="U4978" i="10"/>
  <c r="U4267" i="10"/>
  <c r="U1124" i="10"/>
  <c r="U2751" i="10"/>
  <c r="Q6" i="10"/>
  <c r="U2726" i="10"/>
  <c r="Q1097" i="10"/>
  <c r="U1097" i="10" s="1"/>
  <c r="U4590" i="10"/>
  <c r="U2516" i="10"/>
  <c r="U4176" i="10"/>
  <c r="U2376" i="10"/>
  <c r="O1100" i="10"/>
  <c r="Q1100" i="10" s="1"/>
  <c r="U1100" i="10" s="1"/>
  <c r="U1790" i="10"/>
  <c r="U3068" i="10"/>
  <c r="U2827" i="10"/>
  <c r="U5196" i="10"/>
  <c r="U2822" i="10"/>
  <c r="Q1239" i="10"/>
  <c r="U1239" i="10" s="1"/>
  <c r="U5231" i="10"/>
  <c r="U1438" i="10"/>
  <c r="U4235" i="10"/>
  <c r="U2672" i="10"/>
  <c r="U1817" i="10"/>
  <c r="U3036" i="10"/>
  <c r="U4851" i="10"/>
  <c r="Q1114" i="10"/>
  <c r="U1114" i="10" s="1"/>
  <c r="U3704" i="10"/>
  <c r="U1606" i="10"/>
  <c r="U3860" i="10"/>
  <c r="U2829" i="10"/>
  <c r="U2811" i="10"/>
  <c r="Q1738" i="10"/>
  <c r="U1738" i="10" s="1"/>
  <c r="U3057" i="10"/>
  <c r="U4401" i="10"/>
  <c r="U1209" i="10"/>
  <c r="U4807" i="10"/>
  <c r="U1303" i="10"/>
  <c r="U2786" i="10"/>
  <c r="U2757" i="10"/>
  <c r="U3827" i="10"/>
  <c r="U2718" i="10"/>
  <c r="U1192" i="10"/>
  <c r="U4175" i="10"/>
  <c r="U2102" i="10"/>
  <c r="U3004" i="10"/>
  <c r="U2640" i="10"/>
  <c r="U1432" i="10"/>
  <c r="U2592" i="10"/>
  <c r="U2707" i="10"/>
  <c r="U2268" i="10"/>
  <c r="U3185" i="10"/>
  <c r="U1456" i="10"/>
  <c r="U97" i="10"/>
  <c r="O1605" i="10"/>
  <c r="Q1605" i="10" s="1"/>
  <c r="U1605" i="10" s="1"/>
  <c r="Q1669" i="10"/>
  <c r="U1669" i="10" s="1"/>
  <c r="U3029" i="10"/>
  <c r="U1923" i="10"/>
  <c r="U2076" i="10"/>
  <c r="U2748" i="10"/>
  <c r="U3586" i="10"/>
  <c r="U2340" i="10"/>
  <c r="U3946" i="10"/>
  <c r="U4850" i="10"/>
  <c r="U1948" i="10"/>
  <c r="U5136" i="10"/>
  <c r="U2512" i="10"/>
  <c r="U3236" i="10"/>
  <c r="U1528" i="10"/>
  <c r="U2878" i="10"/>
  <c r="U1288" i="10"/>
  <c r="U3322" i="10"/>
  <c r="U1345" i="10"/>
  <c r="U1971" i="10"/>
  <c r="U1664" i="10"/>
  <c r="Q1735" i="10"/>
  <c r="U1735" i="10" s="1"/>
  <c r="U1385" i="10"/>
  <c r="U2529" i="10"/>
  <c r="U2172" i="10"/>
  <c r="U3890" i="10"/>
  <c r="U1282" i="10"/>
  <c r="U3277" i="10"/>
  <c r="U1993" i="10"/>
  <c r="U3157" i="10"/>
  <c r="U4046" i="10"/>
  <c r="U3283" i="10"/>
  <c r="Q1746" i="10"/>
  <c r="U1746" i="10" s="1"/>
  <c r="U2066" i="10"/>
  <c r="U1535" i="10"/>
  <c r="U4525" i="10"/>
  <c r="U2258" i="10"/>
  <c r="U2097" i="10"/>
  <c r="U5168" i="10"/>
  <c r="U1289" i="10"/>
  <c r="U1232" i="10"/>
  <c r="U2721" i="10"/>
  <c r="U2361" i="10"/>
  <c r="O1588" i="10"/>
  <c r="Q1588" i="10" s="1"/>
  <c r="U1588" i="10" s="1"/>
  <c r="U4818" i="10"/>
  <c r="U3428" i="10"/>
  <c r="U2687" i="10"/>
  <c r="U2197" i="10"/>
  <c r="U3711" i="10"/>
  <c r="U4900" i="10"/>
  <c r="U2337" i="10"/>
  <c r="U3418" i="10"/>
  <c r="U3826" i="10"/>
  <c r="U1425" i="10"/>
  <c r="U1199" i="10"/>
  <c r="U2266" i="10"/>
  <c r="U1135" i="10"/>
  <c r="U1339" i="10"/>
  <c r="U1600" i="10"/>
  <c r="U3122" i="10"/>
  <c r="U1216" i="10"/>
  <c r="U1227" i="10"/>
  <c r="U1731" i="10"/>
  <c r="U2396" i="10"/>
  <c r="U2937" i="10"/>
  <c r="U1557" i="10"/>
  <c r="U2101" i="10"/>
  <c r="U2648" i="10"/>
  <c r="U1231" i="10"/>
  <c r="U1448" i="10"/>
  <c r="U1240" i="10"/>
  <c r="Q292" i="10"/>
  <c r="U292" i="10" s="1"/>
  <c r="U3153" i="10"/>
  <c r="U2362" i="10"/>
  <c r="U2497" i="10"/>
  <c r="U2868" i="10"/>
  <c r="U103" i="10"/>
  <c r="U2490" i="10"/>
  <c r="U1274" i="10"/>
  <c r="U1353" i="10"/>
  <c r="U2148" i="10"/>
  <c r="U3884" i="10"/>
  <c r="U2261" i="10"/>
  <c r="U2777" i="10"/>
  <c r="U1940" i="10"/>
  <c r="U1560" i="10"/>
  <c r="Q1220" i="10"/>
  <c r="U1220" i="10" s="1"/>
  <c r="U2372" i="10"/>
  <c r="U1212" i="10"/>
  <c r="U1436" i="10"/>
  <c r="U3758" i="10"/>
  <c r="U5130" i="10"/>
  <c r="U4556" i="10"/>
  <c r="U3211" i="10"/>
  <c r="U2222" i="10"/>
  <c r="U2679" i="10"/>
  <c r="Q1671" i="10"/>
  <c r="U1671" i="10" s="1"/>
  <c r="U2960" i="10"/>
  <c r="Q1624" i="10"/>
  <c r="U1624" i="10" s="1"/>
  <c r="U2382" i="10"/>
  <c r="U2162" i="10"/>
  <c r="U4465" i="10"/>
  <c r="U2154" i="10"/>
  <c r="U1236" i="10"/>
  <c r="U1447" i="10"/>
  <c r="U1306" i="10"/>
  <c r="U2394" i="10"/>
  <c r="U2787" i="10"/>
  <c r="U4493" i="10"/>
  <c r="U4854" i="10"/>
  <c r="U2112" i="10"/>
  <c r="U1287" i="10"/>
  <c r="U1584" i="10"/>
  <c r="U3090" i="10"/>
  <c r="U3094" i="10"/>
  <c r="O1117" i="10"/>
  <c r="Q1117" i="10" s="1"/>
  <c r="U1117" i="10" s="1"/>
  <c r="U1965" i="10"/>
  <c r="Q1620" i="10"/>
  <c r="U1620" i="10" s="1"/>
  <c r="U2077" i="10"/>
  <c r="U1505" i="10"/>
  <c r="U2771" i="10"/>
  <c r="U4819" i="10"/>
  <c r="U1107" i="10"/>
  <c r="U1779" i="10"/>
  <c r="U2795" i="10"/>
  <c r="U465" i="10"/>
  <c r="U1326" i="10"/>
  <c r="U2479" i="10"/>
  <c r="Q3" i="10"/>
  <c r="Q1610" i="10"/>
  <c r="U1610" i="10" s="1"/>
  <c r="U1215" i="10"/>
  <c r="U2140" i="10"/>
  <c r="Q1748" i="10"/>
  <c r="U1748" i="10" s="1"/>
  <c r="U1907" i="10"/>
  <c r="U3914" i="10"/>
  <c r="U4203" i="10"/>
  <c r="U3058" i="10"/>
  <c r="U2421" i="10"/>
  <c r="U4811" i="10"/>
  <c r="U4561" i="10"/>
  <c r="U2900" i="10"/>
  <c r="U1431" i="10"/>
  <c r="U3189" i="10"/>
  <c r="U4236" i="10"/>
  <c r="U2657" i="10"/>
  <c r="U2218" i="10"/>
  <c r="U2763" i="10"/>
  <c r="Q1080" i="10"/>
  <c r="U1080" i="10" s="1"/>
  <c r="U1821" i="10"/>
  <c r="U3541" i="10"/>
  <c r="U3348" i="10"/>
  <c r="U2994" i="10"/>
  <c r="U1352" i="10"/>
  <c r="U1813" i="10"/>
  <c r="U1112" i="10"/>
  <c r="U1252" i="10"/>
  <c r="U2789" i="10"/>
  <c r="U2458" i="10"/>
  <c r="U1980" i="10"/>
  <c r="U3062" i="10"/>
  <c r="U1262" i="10"/>
  <c r="U5413" i="10"/>
  <c r="U2614" i="10"/>
  <c r="U3595" i="10"/>
  <c r="U2859" i="10"/>
  <c r="D9" i="10"/>
  <c r="F9" i="10" s="1"/>
  <c r="O1641" i="10" s="1"/>
  <c r="Q1641" i="10" s="1"/>
  <c r="U1641" i="10" s="1"/>
  <c r="E11" i="10"/>
  <c r="F11" i="10" s="1"/>
  <c r="O798" i="10" s="1"/>
  <c r="Q798" i="10" s="1"/>
  <c r="U798" i="10" s="1"/>
  <c r="U2680" i="10"/>
  <c r="U5006" i="10"/>
  <c r="U2601" i="10"/>
  <c r="U2725" i="10"/>
  <c r="U2122" i="10"/>
  <c r="U3051" i="10"/>
  <c r="U4601" i="10"/>
  <c r="U4169" i="10"/>
  <c r="U5164" i="10"/>
  <c r="U2662" i="10"/>
  <c r="O1183" i="10"/>
  <c r="Q1183" i="10" s="1"/>
  <c r="U1183" i="10" s="1"/>
  <c r="U4112" i="10"/>
  <c r="U1488" i="10"/>
  <c r="U5264" i="10"/>
  <c r="U1258" i="10"/>
  <c r="U1106" i="10"/>
  <c r="Q1705" i="10"/>
  <c r="U1705" i="10" s="1"/>
  <c r="U2821" i="10"/>
  <c r="U2616" i="10"/>
  <c r="U4983" i="10"/>
  <c r="U4266" i="10"/>
  <c r="U2135" i="10"/>
  <c r="U5355" i="10"/>
  <c r="Q1674" i="10"/>
  <c r="U1674" i="10" s="1"/>
  <c r="U2480" i="10"/>
  <c r="U3025" i="10"/>
  <c r="U2750" i="10"/>
  <c r="U3218" i="10"/>
  <c r="U1235" i="10"/>
  <c r="U1416" i="10"/>
  <c r="Q1585" i="10"/>
  <c r="U1585" i="10" s="1"/>
  <c r="U4207" i="10"/>
  <c r="U3792" i="10"/>
  <c r="U926" i="10"/>
  <c r="U1966" i="10"/>
  <c r="U4805" i="10"/>
  <c r="U2265" i="10"/>
  <c r="Q1707" i="10"/>
  <c r="U1707" i="10" s="1"/>
  <c r="Q1675" i="10"/>
  <c r="U1675" i="10" s="1"/>
  <c r="U1504" i="10"/>
  <c r="U3225" i="10"/>
  <c r="U1537" i="10"/>
  <c r="U1211" i="10"/>
  <c r="U4690" i="10"/>
  <c r="U2478" i="10"/>
  <c r="U3716" i="10"/>
  <c r="U5547" i="10"/>
  <c r="Q1706" i="10"/>
  <c r="U1706" i="10" s="1"/>
  <c r="U2126" i="10"/>
  <c r="U3817" i="10"/>
  <c r="U2248" i="10"/>
  <c r="U2212" i="10"/>
  <c r="Q1629" i="10"/>
  <c r="U1629" i="10" s="1"/>
  <c r="Q1631" i="10"/>
  <c r="U1631" i="10" s="1"/>
  <c r="U1145" i="10"/>
  <c r="U1536" i="10"/>
  <c r="U1102" i="10"/>
  <c r="U1608" i="10"/>
  <c r="U250" i="10"/>
  <c r="U2311" i="10"/>
  <c r="U66" i="10"/>
  <c r="U1591" i="10"/>
  <c r="U716" i="10"/>
  <c r="U260" i="10"/>
  <c r="U1550" i="10"/>
  <c r="U1118" i="10"/>
  <c r="U1071" i="10"/>
  <c r="U1607" i="10"/>
  <c r="U1202" i="10"/>
  <c r="U889" i="10"/>
  <c r="U1171" i="10"/>
  <c r="U1791" i="10"/>
  <c r="U1203" i="10"/>
  <c r="U549" i="10"/>
  <c r="U891" i="10"/>
  <c r="U1088" i="10"/>
  <c r="U180" i="10"/>
  <c r="U1094" i="10"/>
  <c r="U1418" i="10"/>
  <c r="U1076" i="10"/>
  <c r="U1188" i="10"/>
  <c r="U597" i="10"/>
  <c r="U1077" i="10"/>
  <c r="U1414" i="10"/>
  <c r="U1101" i="10"/>
  <c r="U890" i="10"/>
  <c r="U1242" i="10"/>
  <c r="U56" i="10"/>
  <c r="U1111" i="10"/>
  <c r="U2327" i="10"/>
  <c r="U1598" i="10"/>
  <c r="U1593" i="10"/>
  <c r="U1120" i="10"/>
  <c r="U1590" i="10"/>
  <c r="U1194" i="10"/>
  <c r="U1834" i="10"/>
  <c r="U1086" i="10"/>
  <c r="U1177" i="10"/>
  <c r="U1085" i="10"/>
  <c r="U1582" i="10"/>
  <c r="U1193" i="10"/>
  <c r="U1184" i="10"/>
  <c r="U1243" i="10"/>
  <c r="U1599" i="10"/>
  <c r="U1218" i="10"/>
  <c r="U1084" i="10"/>
  <c r="U1093" i="10"/>
  <c r="U1105" i="10"/>
  <c r="U749" i="10"/>
  <c r="U1110" i="10"/>
  <c r="U1103" i="10"/>
  <c r="U646" i="10"/>
  <c r="U1176" i="10"/>
  <c r="U1205" i="10"/>
  <c r="U1576" i="10"/>
  <c r="U1119" i="10"/>
  <c r="U1783" i="10"/>
  <c r="U1185" i="10"/>
  <c r="U1186" i="10"/>
  <c r="U1217" i="10"/>
  <c r="U1581" i="10"/>
  <c r="U2205" i="10"/>
  <c r="U55" i="10"/>
  <c r="U111" i="10"/>
  <c r="U251" i="10"/>
  <c r="U161" i="10"/>
  <c r="U130" i="10"/>
  <c r="U694" i="10"/>
  <c r="U249" i="10"/>
  <c r="U548" i="10"/>
  <c r="U645" i="10"/>
  <c r="U397" i="10"/>
  <c r="U748" i="10"/>
  <c r="U261" i="10"/>
  <c r="U359" i="10"/>
  <c r="U695" i="10"/>
  <c r="U596" i="10"/>
  <c r="U1688" i="10"/>
  <c r="U2223" i="10"/>
  <c r="U1642" i="10"/>
  <c r="U2225" i="10"/>
  <c r="U1551" i="10"/>
  <c r="U1689" i="10"/>
  <c r="U205" i="10"/>
  <c r="U408" i="10"/>
  <c r="U160" i="10"/>
  <c r="U178" i="10"/>
  <c r="U112" i="10"/>
  <c r="U407" i="10"/>
  <c r="U259" i="10"/>
  <c r="U797" i="10"/>
  <c r="U129" i="10"/>
  <c r="U358" i="10"/>
  <c r="U220" i="10"/>
  <c r="U398" i="10"/>
  <c r="U348" i="10"/>
  <c r="U349" i="10"/>
  <c r="U2206" i="10"/>
  <c r="U65" i="10"/>
  <c r="U1811" i="10"/>
  <c r="U1782" i="10"/>
  <c r="U2043" i="10"/>
  <c r="U2307" i="10"/>
  <c r="U2308" i="10"/>
  <c r="U2309" i="10"/>
  <c r="O1789" i="10"/>
  <c r="O1784" i="10"/>
  <c r="U2272" i="10"/>
  <c r="U1151" i="10"/>
  <c r="U696" i="10"/>
  <c r="F38" i="40" l="1"/>
  <c r="D39" i="40"/>
  <c r="F39" i="40" s="1"/>
  <c r="W109" i="38" a="1"/>
  <c r="W109" i="38" s="1"/>
  <c r="P109" i="38" s="1" a="1"/>
  <c r="P109" i="38" s="1"/>
  <c r="P430" i="38" a="1"/>
  <c r="P430" i="38" s="1"/>
  <c r="W65" i="38" a="1"/>
  <c r="W65" i="38" s="1"/>
  <c r="P65" i="38" s="1" a="1"/>
  <c r="P65" i="38" s="1"/>
  <c r="V419" i="38"/>
  <c r="P419" i="38" s="1" a="1"/>
  <c r="P419" i="38" s="1"/>
  <c r="V417" i="38"/>
  <c r="P417" i="38" s="1" a="1"/>
  <c r="P417" i="38" s="1"/>
  <c r="V359" i="38"/>
  <c r="P359" i="38" s="1" a="1"/>
  <c r="P359" i="38" s="1"/>
  <c r="P392" i="38" a="1"/>
  <c r="P392" i="38" s="1"/>
  <c r="V418" i="38"/>
  <c r="P418" i="38" s="1" a="1"/>
  <c r="P418" i="38" s="1"/>
  <c r="V358" i="38"/>
  <c r="P358" i="38" s="1" a="1"/>
  <c r="P358" i="38" s="1"/>
  <c r="P117" i="38" a="1"/>
  <c r="P117" i="38" s="1"/>
  <c r="V120" i="38"/>
  <c r="P120" i="38" s="1" a="1"/>
  <c r="P120" i="38" s="1"/>
  <c r="V267" i="38"/>
  <c r="P267" i="38" s="1" a="1"/>
  <c r="P267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P151" i="38" a="1"/>
  <c r="P151" i="38" s="1"/>
  <c r="P62" i="38" a="1"/>
  <c r="P62" i="38" s="1"/>
  <c r="V538" i="38"/>
  <c r="P538" i="38" s="1" a="1"/>
  <c r="P538" i="38" s="1"/>
  <c r="V506" i="38"/>
  <c r="P506" i="38" s="1" a="1"/>
  <c r="P506" i="38" s="1"/>
  <c r="V509" i="38"/>
  <c r="P509" i="38" s="1" a="1"/>
  <c r="P509" i="38" s="1"/>
  <c r="V508" i="38"/>
  <c r="P508" i="38" s="1" a="1"/>
  <c r="P508" i="38" s="1"/>
  <c r="V89" i="38"/>
  <c r="P89" i="38" s="1" a="1"/>
  <c r="P89" i="38" s="1"/>
  <c r="V536" i="38"/>
  <c r="P536" i="38" s="1" a="1"/>
  <c r="P536" i="38" s="1"/>
  <c r="V86" i="38"/>
  <c r="P86" i="38" s="1" a="1"/>
  <c r="P86" i="38" s="1"/>
  <c r="V88" i="38"/>
  <c r="P88" i="38" s="1" a="1"/>
  <c r="P88" i="38" s="1"/>
  <c r="V539" i="38"/>
  <c r="P539" i="38" s="1" a="1"/>
  <c r="P539" i="38" s="1"/>
  <c r="V299" i="38"/>
  <c r="P299" i="38" s="1" a="1"/>
  <c r="P299" i="38" s="1"/>
  <c r="P273" i="38" a="1"/>
  <c r="P273" i="38" s="1"/>
  <c r="V416" i="38"/>
  <c r="P416" i="38" s="1" a="1"/>
  <c r="P416" i="38" s="1"/>
  <c r="V356" i="38"/>
  <c r="P356" i="38" s="1" a="1"/>
  <c r="P356" i="38" s="1"/>
  <c r="P393" i="38" a="1"/>
  <c r="P393" i="38" s="1"/>
  <c r="Q1123" i="10"/>
  <c r="U1123" i="10" s="1"/>
  <c r="Q247" i="10"/>
  <c r="U247" i="10" s="1"/>
  <c r="Q885" i="10"/>
  <c r="U885" i="10" s="1"/>
  <c r="Q203" i="10"/>
  <c r="U203" i="10" s="1"/>
  <c r="Q52" i="10"/>
  <c r="U52" i="10" s="1"/>
  <c r="Q542" i="10"/>
  <c r="U542" i="10" s="1"/>
  <c r="Q591" i="10"/>
  <c r="U591" i="10" s="1"/>
  <c r="Q2252" i="10"/>
  <c r="U2252" i="10" s="1"/>
  <c r="Q640" i="10"/>
  <c r="U640" i="10" s="1"/>
  <c r="Q2244" i="10"/>
  <c r="U2244" i="10" s="1"/>
  <c r="Q257" i="10"/>
  <c r="U257" i="10" s="1"/>
  <c r="Q1638" i="10"/>
  <c r="U1638" i="10" s="1"/>
  <c r="Q691" i="10"/>
  <c r="U691" i="10" s="1"/>
  <c r="U3" i="10"/>
  <c r="Q62" i="10"/>
  <c r="U62" i="10" s="1"/>
  <c r="Q218" i="10"/>
  <c r="U218" i="10" s="1"/>
  <c r="Q545" i="10"/>
  <c r="U545" i="10" s="1"/>
  <c r="Q1131" i="10"/>
  <c r="U1131" i="10" s="1"/>
  <c r="U999" i="10"/>
  <c r="O995" i="10"/>
  <c r="U1734" i="10"/>
  <c r="P1752" i="10"/>
  <c r="U1752" i="10" s="1"/>
  <c r="O1711" i="10" a="1"/>
  <c r="O1711" i="10" s="1"/>
  <c r="Q1711" i="10" s="1"/>
  <c r="U1711" i="10" s="1"/>
  <c r="V420" i="38"/>
  <c r="V480" i="38"/>
  <c r="V450" i="38"/>
  <c r="P450" i="38" s="1" a="1"/>
  <c r="P450" i="38" s="1"/>
  <c r="V360" i="38"/>
  <c r="P271" i="38" a="1"/>
  <c r="P271" i="38" s="1"/>
  <c r="V300" i="38"/>
  <c r="P300" i="38" s="1" a="1"/>
  <c r="P300" i="38" s="1"/>
  <c r="V298" i="38"/>
  <c r="P298" i="38" s="1" a="1"/>
  <c r="P298" i="38" s="1"/>
  <c r="V3" i="38"/>
  <c r="P3" i="38" s="1"/>
  <c r="W4" i="38"/>
  <c r="J14" i="1"/>
  <c r="Q2254" i="10"/>
  <c r="U2254" i="10" s="1"/>
  <c r="Q593" i="10"/>
  <c r="U593" i="10" s="1"/>
  <c r="Q2246" i="10"/>
  <c r="U2246" i="10" s="1"/>
  <c r="Q642" i="10"/>
  <c r="U642" i="10" s="1"/>
  <c r="Q1125" i="10"/>
  <c r="U1125" i="10" s="1"/>
  <c r="U6" i="10"/>
  <c r="Q544" i="10"/>
  <c r="U544" i="10" s="1"/>
  <c r="Q1133" i="10"/>
  <c r="U1133" i="10" s="1"/>
  <c r="B32" i="35"/>
  <c r="C25" i="35"/>
  <c r="C55" i="35"/>
  <c r="B36" i="35" s="1"/>
  <c r="B34" i="35"/>
  <c r="C30" i="35"/>
  <c r="C58" i="35" s="1"/>
  <c r="C39" i="35" s="1"/>
  <c r="B26" i="35"/>
  <c r="C26" i="35" s="1"/>
  <c r="B33" i="35"/>
  <c r="B35" i="35"/>
  <c r="B37" i="35"/>
  <c r="W8" i="38"/>
  <c r="P7" i="38"/>
  <c r="P63" i="38" a="1"/>
  <c r="P63" i="38" s="1"/>
  <c r="V270" i="38"/>
  <c r="P270" i="38" s="1" a="1"/>
  <c r="P270" i="38" s="1"/>
  <c r="V240" i="38"/>
  <c r="P240" i="38" s="1" a="1"/>
  <c r="P240" i="38" s="1"/>
  <c r="V90" i="38"/>
  <c r="P90" i="38" s="1" a="1"/>
  <c r="P90" i="38" s="1"/>
  <c r="V180" i="38"/>
  <c r="P180" i="38" s="1" a="1"/>
  <c r="P180" i="38" s="1"/>
  <c r="V210" i="38"/>
  <c r="P210" i="38" s="1" a="1"/>
  <c r="P210" i="38" s="1"/>
  <c r="V540" i="38"/>
  <c r="V510" i="38"/>
  <c r="W486" i="38" l="1"/>
  <c r="P486" i="38" s="1" a="1"/>
  <c r="P486" i="38" s="1"/>
  <c r="W516" i="38"/>
  <c r="P516" i="38" s="1" a="1"/>
  <c r="P516" i="38" s="1"/>
  <c r="B39" i="35"/>
  <c r="W66" i="38"/>
  <c r="P66" i="38" s="1" a="1"/>
  <c r="P66" i="38" s="1"/>
  <c r="P4" i="38"/>
  <c r="Q409" i="36"/>
  <c r="P4" i="36" s="1" a="1"/>
  <c r="P4" i="36" s="1"/>
  <c r="W33" i="38" s="1"/>
  <c r="W34" i="38" s="1" a="1"/>
  <c r="W34" i="38" s="1"/>
  <c r="P8" i="38"/>
  <c r="W10" i="35"/>
  <c r="W16" i="35" s="1"/>
  <c r="W17" i="35" s="1"/>
  <c r="W18" i="35" s="1"/>
  <c r="C57" i="35"/>
  <c r="C60" i="35"/>
  <c r="C61" i="35"/>
  <c r="C36" i="35"/>
  <c r="J11" i="35"/>
  <c r="J3" i="35"/>
  <c r="J4" i="35"/>
  <c r="R4" i="35" s="1"/>
  <c r="J9" i="35"/>
  <c r="J5" i="35"/>
  <c r="R5" i="35" s="1"/>
  <c r="J6" i="35"/>
  <c r="J8" i="35"/>
  <c r="J10" i="35"/>
  <c r="J12" i="35"/>
  <c r="J7" i="35"/>
  <c r="E631" i="38" l="1" a="1"/>
  <c r="E631" i="38" s="1"/>
  <c r="E511" i="38" a="1"/>
  <c r="E511" i="38" s="1"/>
  <c r="W227" i="38" a="1"/>
  <c r="W227" i="38" s="1"/>
  <c r="P227" i="38" s="1" a="1"/>
  <c r="P227" i="38" s="1"/>
  <c r="W112" i="38" a="1"/>
  <c r="W112" i="38" s="1"/>
  <c r="P112" i="38" s="1" a="1"/>
  <c r="P112" i="38" s="1"/>
  <c r="W167" i="38" a="1"/>
  <c r="W167" i="38" s="1"/>
  <c r="P167" i="38" s="1" a="1"/>
  <c r="P167" i="38" s="1"/>
  <c r="W77" i="38" a="1"/>
  <c r="W77" i="38" s="1"/>
  <c r="P77" i="38" s="1" a="1"/>
  <c r="P77" i="38" s="1"/>
  <c r="E91" i="38" a="1"/>
  <c r="E91" i="38" s="1"/>
  <c r="E361" i="38" a="1"/>
  <c r="E361" i="38" s="1"/>
  <c r="E271" i="38" a="1"/>
  <c r="E271" i="38" s="1"/>
  <c r="E241" i="38" a="1"/>
  <c r="E241" i="38" s="1"/>
  <c r="E211" i="38" a="1"/>
  <c r="E211" i="38" s="1"/>
  <c r="E481" i="38" a="1"/>
  <c r="E481" i="38" s="1"/>
  <c r="E421" i="38" a="1"/>
  <c r="E421" i="38" s="1"/>
  <c r="E391" i="38" a="1"/>
  <c r="E391" i="38" s="1"/>
  <c r="E451" i="38" a="1"/>
  <c r="E451" i="38" s="1"/>
  <c r="E61" i="38" a="1"/>
  <c r="E61" i="38" s="1"/>
  <c r="E331" i="38" a="1"/>
  <c r="E331" i="38" s="1"/>
  <c r="E181" i="38" a="1"/>
  <c r="E181" i="38" s="1"/>
  <c r="E151" i="38" a="1"/>
  <c r="E151" i="38" s="1"/>
  <c r="J15" i="35"/>
  <c r="R3" i="35"/>
  <c r="R15" i="35" s="1"/>
  <c r="Q4" i="36"/>
  <c r="W377" i="38" s="1"/>
  <c r="P377" i="38" s="1" a="1"/>
  <c r="P377" i="38" s="1"/>
  <c r="C40" i="35"/>
  <c r="B40" i="35"/>
  <c r="C38" i="35"/>
  <c r="B38" i="35"/>
  <c r="W197" i="38" l="1" a="1"/>
  <c r="W197" i="38" s="1"/>
  <c r="P197" i="38" s="1" a="1"/>
  <c r="P197" i="38" s="1"/>
  <c r="W287" i="38" a="1"/>
  <c r="W287" i="38" s="1"/>
  <c r="P287" i="38" s="1" a="1"/>
  <c r="P287" i="38" s="1"/>
  <c r="W257" i="38" a="1"/>
  <c r="W257" i="38" s="1"/>
  <c r="P257" i="38" s="1" a="1"/>
  <c r="P257" i="38" s="1"/>
  <c r="W405" i="38" a="1"/>
  <c r="W405" i="38" s="1"/>
  <c r="P405" i="38" s="1" a="1"/>
  <c r="P405" i="38" s="1"/>
  <c r="W347" i="38" a="1"/>
  <c r="W347" i="38" s="1"/>
  <c r="P347" i="38" s="1" a="1"/>
  <c r="P347" i="38" s="1"/>
  <c r="W497" i="38" a="1"/>
  <c r="W497" i="38" s="1"/>
  <c r="P497" i="38" s="1" a="1"/>
  <c r="P497" i="38" s="1"/>
  <c r="W435" i="38" a="1"/>
  <c r="W435" i="38" s="1"/>
  <c r="P435" i="38" s="1" a="1"/>
  <c r="P435" i="38" s="1"/>
  <c r="W527" i="38" a="1"/>
  <c r="W527" i="38" s="1"/>
  <c r="P527" i="38" s="1" a="1"/>
  <c r="P527" i="38" s="1"/>
  <c r="W646" i="38" a="1"/>
  <c r="W646" i="38" s="1"/>
  <c r="P646" i="38" s="1" a="1"/>
  <c r="P646" i="38" s="1"/>
  <c r="E37" i="40"/>
  <c r="F37" i="40" s="1"/>
  <c r="E40" i="40" s="1"/>
  <c r="F40" i="40" s="1"/>
  <c r="T631" i="38" a="1"/>
  <c r="T631" i="38" s="1"/>
  <c r="P317" i="38" a="1"/>
  <c r="P317" i="38" s="1"/>
  <c r="W465" i="38" a="1"/>
  <c r="W465" i="38" s="1"/>
  <c r="P465" i="38" s="1" a="1"/>
  <c r="P465" i="38" s="1"/>
  <c r="E2" i="19" a="1"/>
  <c r="E2" i="19" s="1"/>
  <c r="I361" i="38"/>
  <c r="I10" i="35"/>
  <c r="I4" i="35"/>
  <c r="Q4" i="35" s="1"/>
  <c r="I6" i="35"/>
  <c r="I5" i="35"/>
  <c r="Q5" i="35" s="1"/>
  <c r="I12" i="35"/>
  <c r="I8" i="35"/>
  <c r="I3" i="35"/>
  <c r="I11" i="35"/>
  <c r="I9" i="35"/>
  <c r="I7" i="35"/>
  <c r="K8" i="35"/>
  <c r="K6" i="35"/>
  <c r="K9" i="35"/>
  <c r="K7" i="35"/>
  <c r="K5" i="35"/>
  <c r="S5" i="35" s="1"/>
  <c r="K4" i="35"/>
  <c r="S4" i="35" s="1"/>
  <c r="K3" i="35"/>
  <c r="K10" i="35"/>
  <c r="K11" i="35"/>
  <c r="K12" i="35"/>
  <c r="W404" i="38" l="1" a="1"/>
  <c r="W404" i="38" s="1"/>
  <c r="P404" i="38" s="1" a="1"/>
  <c r="P404" i="38" s="1"/>
  <c r="W526" i="38" a="1"/>
  <c r="W526" i="38" s="1"/>
  <c r="P526" i="38" s="1" a="1"/>
  <c r="P526" i="38" s="1"/>
  <c r="W286" i="38" a="1"/>
  <c r="W286" i="38" s="1"/>
  <c r="P286" i="38" s="1" a="1"/>
  <c r="P286" i="38" s="1"/>
  <c r="W346" i="38" a="1"/>
  <c r="W346" i="38" s="1"/>
  <c r="P346" i="38" s="1" a="1"/>
  <c r="P346" i="38" s="1"/>
  <c r="W226" i="38" a="1"/>
  <c r="W226" i="38" s="1"/>
  <c r="P226" i="38" s="1" a="1"/>
  <c r="P226" i="38" s="1"/>
  <c r="W256" i="38" a="1"/>
  <c r="W256" i="38" s="1"/>
  <c r="P256" i="38" s="1" a="1"/>
  <c r="P256" i="38" s="1"/>
  <c r="W166" i="38" a="1"/>
  <c r="W166" i="38" s="1"/>
  <c r="P166" i="38" s="1" a="1"/>
  <c r="P166" i="38" s="1"/>
  <c r="W196" i="38" a="1"/>
  <c r="W196" i="38" s="1"/>
  <c r="P196" i="38" s="1" a="1"/>
  <c r="P196" i="38" s="1"/>
  <c r="W434" i="38" a="1"/>
  <c r="W434" i="38" s="1"/>
  <c r="P434" i="38" s="1" a="1"/>
  <c r="P434" i="38" s="1"/>
  <c r="W111" i="38" a="1"/>
  <c r="W111" i="38" s="1"/>
  <c r="P111" i="38" s="1" a="1"/>
  <c r="P111" i="38" s="1"/>
  <c r="W496" i="38" a="1"/>
  <c r="W496" i="38" s="1"/>
  <c r="P496" i="38" s="1" a="1"/>
  <c r="P496" i="38" s="1"/>
  <c r="W464" i="38" a="1"/>
  <c r="W464" i="38" s="1"/>
  <c r="P464" i="38" s="1" a="1"/>
  <c r="P464" i="38" s="1"/>
  <c r="W76" i="38" a="1"/>
  <c r="W76" i="38" s="1"/>
  <c r="P76" i="38" s="1" a="1"/>
  <c r="P76" i="38" s="1"/>
  <c r="W458" i="38" a="1"/>
  <c r="W458" i="38" s="1"/>
  <c r="P458" i="38" s="1" a="1"/>
  <c r="P458" i="38" s="1"/>
  <c r="P631" i="38" a="1"/>
  <c r="P631" i="38" s="1"/>
  <c r="R631" i="38" a="1"/>
  <c r="R631" i="38" s="1"/>
  <c r="R632" i="38" a="1"/>
  <c r="R632" i="38" s="1"/>
  <c r="P632" i="38" a="1"/>
  <c r="P632" i="38" s="1"/>
  <c r="W283" i="38"/>
  <c r="P283" i="38" s="1" a="1"/>
  <c r="P283" i="38" s="1"/>
  <c r="W277" i="38"/>
  <c r="P277" i="38" s="1" a="1"/>
  <c r="P277" i="38" s="1"/>
  <c r="S3" i="35"/>
  <c r="S15" i="35" s="1"/>
  <c r="K15" i="35"/>
  <c r="Q3" i="35"/>
  <c r="Q15" i="35" s="1"/>
  <c r="I15" i="35"/>
  <c r="H8" i="1" l="1" a="1"/>
  <c r="H8" i="1" s="1"/>
  <c r="G12" i="1" a="1"/>
  <c r="G12" i="1" s="1"/>
  <c r="G8" i="1" a="1"/>
  <c r="G8" i="1" s="1"/>
  <c r="G9" i="1" a="1"/>
  <c r="G9" i="1" s="1"/>
  <c r="D18" i="1" a="1"/>
  <c r="D18" i="1" s="1"/>
  <c r="F18" i="1" s="1" a="1"/>
  <c r="F18" i="1" s="1"/>
  <c r="G10" i="1" a="1"/>
  <c r="G10" i="1" s="1"/>
  <c r="H15" i="1" a="1"/>
  <c r="H15" i="1" s="1"/>
  <c r="D10" i="1" a="1"/>
  <c r="D10" i="1" s="1"/>
  <c r="F10" i="1" s="1" a="1"/>
  <c r="F10" i="1" s="1"/>
  <c r="H25" i="1" a="1"/>
  <c r="H25" i="1" s="1"/>
  <c r="G29" i="1" a="1"/>
  <c r="G29" i="1" s="1"/>
  <c r="H16" i="1" a="1"/>
  <c r="H16" i="1" s="1"/>
  <c r="D27" i="1" a="1"/>
  <c r="D27" i="1" s="1"/>
  <c r="F27" i="1" s="1" a="1"/>
  <c r="F27" i="1" s="1"/>
  <c r="H5" i="1" a="1"/>
  <c r="H5" i="1" s="1"/>
  <c r="H9" i="1" a="1"/>
  <c r="H9" i="1" s="1"/>
  <c r="G22" i="1" a="1"/>
  <c r="G22" i="1" s="1"/>
  <c r="D9" i="1" a="1"/>
  <c r="D9" i="1" s="1"/>
  <c r="F9" i="1" s="1" a="1"/>
  <c r="F9" i="1" s="1"/>
  <c r="H4" i="1" a="1"/>
  <c r="H4" i="1" s="1"/>
  <c r="H14" i="1" a="1"/>
  <c r="H14" i="1" s="1"/>
  <c r="H24" i="1" a="1"/>
  <c r="H24" i="1" s="1"/>
  <c r="D7" i="1" a="1"/>
  <c r="D7" i="1" s="1"/>
  <c r="F7" i="1" s="1" a="1"/>
  <c r="F7" i="1" s="1"/>
  <c r="D14" i="1" a="1"/>
  <c r="D14" i="1" s="1"/>
  <c r="F14" i="1" s="1" a="1"/>
  <c r="F14" i="1" s="1"/>
  <c r="G19" i="1" a="1"/>
  <c r="G19" i="1" s="1"/>
  <c r="H22" i="1" a="1"/>
  <c r="H22" i="1" s="1"/>
  <c r="H13" i="1" a="1"/>
  <c r="H13" i="1" s="1"/>
  <c r="H29" i="1" a="1"/>
  <c r="H29" i="1" s="1"/>
  <c r="G7" i="1" a="1"/>
  <c r="G7" i="1" s="1"/>
  <c r="G13" i="1" a="1"/>
  <c r="G13" i="1" s="1"/>
  <c r="H19" i="1" a="1"/>
  <c r="H19" i="1" s="1"/>
  <c r="G24" i="1" a="1"/>
  <c r="G24" i="1" s="1"/>
  <c r="G27" i="1" a="1"/>
  <c r="G27" i="1" s="1"/>
  <c r="G25" i="1" a="1"/>
  <c r="G25" i="1" s="1"/>
  <c r="D24" i="1" a="1"/>
  <c r="D24" i="1" s="1"/>
  <c r="F24" i="1" s="1" a="1"/>
  <c r="F24" i="1" s="1"/>
  <c r="G11" i="1" a="1"/>
  <c r="G11" i="1" s="1"/>
  <c r="D23" i="1" a="1"/>
  <c r="D23" i="1" s="1"/>
  <c r="F23" i="1" s="1" a="1"/>
  <c r="F23" i="1" s="1"/>
  <c r="G6" i="1" a="1"/>
  <c r="G6" i="1" s="1"/>
  <c r="D21" i="1" a="1"/>
  <c r="D21" i="1" s="1"/>
  <c r="F21" i="1" s="1" a="1"/>
  <c r="F21" i="1" s="1"/>
  <c r="D6" i="1" a="1"/>
  <c r="D6" i="1" s="1"/>
  <c r="F6" i="1" s="1" a="1"/>
  <c r="F6" i="1" s="1"/>
  <c r="G4" i="1" a="1"/>
  <c r="G4" i="1" s="1"/>
  <c r="G23" i="1" a="1"/>
  <c r="G23" i="1" s="1"/>
  <c r="H21" i="1" a="1"/>
  <c r="H21" i="1" s="1"/>
  <c r="D29" i="1" a="1"/>
  <c r="D29" i="1" s="1"/>
  <c r="F29" i="1" s="1" a="1"/>
  <c r="F29" i="1" s="1"/>
  <c r="D12" i="1" a="1"/>
  <c r="D12" i="1" s="1"/>
  <c r="F12" i="1" s="1" a="1"/>
  <c r="F12" i="1" s="1"/>
  <c r="H26" i="1" a="1"/>
  <c r="H26" i="1" s="1"/>
  <c r="H23" i="1" a="1"/>
  <c r="H23" i="1" s="1"/>
  <c r="H27" i="1" a="1"/>
  <c r="H27" i="1" s="1"/>
  <c r="G14" i="1" a="1"/>
  <c r="G14" i="1" s="1"/>
  <c r="D17" i="1" a="1"/>
  <c r="D17" i="1" s="1"/>
  <c r="F17" i="1" s="1" a="1"/>
  <c r="F17" i="1" s="1"/>
  <c r="H6" i="1" a="1"/>
  <c r="H6" i="1" s="1"/>
  <c r="G26" i="1" a="1"/>
  <c r="G26" i="1" s="1"/>
  <c r="H18" i="1" a="1"/>
  <c r="H18" i="1" s="1"/>
  <c r="G20" i="1" a="1"/>
  <c r="G20" i="1" s="1"/>
  <c r="H20" i="1" a="1"/>
  <c r="H20" i="1" s="1"/>
  <c r="G17" i="1" a="1"/>
  <c r="G17" i="1" s="1"/>
  <c r="G18" i="1" a="1"/>
  <c r="G18" i="1" s="1"/>
  <c r="H11" i="1" a="1"/>
  <c r="H11" i="1" s="1"/>
  <c r="G16" i="1" a="1"/>
  <c r="G16" i="1" s="1"/>
  <c r="D11" i="1" a="1"/>
  <c r="D11" i="1" s="1"/>
  <c r="F11" i="1" s="1" a="1"/>
  <c r="F11" i="1" s="1"/>
  <c r="D5" i="1" a="1"/>
  <c r="D5" i="1" s="1"/>
  <c r="F5" i="1" s="1" a="1"/>
  <c r="F5" i="1" s="1"/>
  <c r="I5" i="1" s="1"/>
  <c r="G21" i="1" a="1"/>
  <c r="G21" i="1" s="1"/>
  <c r="H17" i="1" a="1"/>
  <c r="H17" i="1" s="1"/>
  <c r="D20" i="1" a="1"/>
  <c r="D20" i="1" s="1"/>
  <c r="F20" i="1" s="1" a="1"/>
  <c r="F20" i="1" s="1"/>
  <c r="D8" i="1" a="1"/>
  <c r="D8" i="1" s="1"/>
  <c r="F8" i="1" s="1" a="1"/>
  <c r="F8" i="1" s="1"/>
  <c r="I8" i="1" s="1"/>
  <c r="D19" i="1" a="1"/>
  <c r="D19" i="1" s="1"/>
  <c r="F19" i="1" s="1" a="1"/>
  <c r="F19" i="1" s="1"/>
  <c r="D26" i="1" a="1"/>
  <c r="D26" i="1" s="1"/>
  <c r="F26" i="1" s="1" a="1"/>
  <c r="F26" i="1" s="1"/>
  <c r="G15" i="1" a="1"/>
  <c r="G15" i="1" s="1"/>
  <c r="D15" i="1" a="1"/>
  <c r="D15" i="1" s="1"/>
  <c r="F15" i="1" s="1" a="1"/>
  <c r="F15" i="1" s="1"/>
  <c r="H10" i="1" a="1"/>
  <c r="H10" i="1" s="1"/>
  <c r="G28" i="1" a="1"/>
  <c r="G28" i="1" s="1"/>
  <c r="H28" i="1" a="1"/>
  <c r="H28" i="1" s="1"/>
  <c r="H7" i="1" a="1"/>
  <c r="H7" i="1" s="1"/>
  <c r="G5" i="1" a="1"/>
  <c r="G5" i="1" s="1"/>
  <c r="H12" i="1" a="1"/>
  <c r="H12" i="1" s="1"/>
  <c r="D13" i="1" a="1"/>
  <c r="D13" i="1" s="1"/>
  <c r="F13" i="1" s="1" a="1"/>
  <c r="F13" i="1" s="1"/>
  <c r="D16" i="1" a="1"/>
  <c r="D16" i="1" s="1"/>
  <c r="F16" i="1" s="1" a="1"/>
  <c r="F16" i="1" s="1"/>
  <c r="D4" i="1" a="1"/>
  <c r="D4" i="1" s="1"/>
  <c r="F4" i="1" s="1" a="1"/>
  <c r="F4" i="1" s="1"/>
  <c r="D28" i="1" a="1"/>
  <c r="D28" i="1" s="1"/>
  <c r="F28" i="1" s="1" a="1"/>
  <c r="F28" i="1" s="1"/>
  <c r="D25" i="1" a="1"/>
  <c r="D25" i="1" s="1"/>
  <c r="F25" i="1" s="1" a="1"/>
  <c r="F25" i="1" s="1"/>
  <c r="D22" i="1" a="1"/>
  <c r="D22" i="1" s="1"/>
  <c r="F22" i="1" s="1" a="1"/>
  <c r="F22" i="1" s="1"/>
  <c r="I25" i="1" l="1"/>
  <c r="I24" i="1"/>
  <c r="I20" i="1"/>
  <c r="I15" i="1"/>
  <c r="I26" i="1"/>
  <c r="I19" i="1"/>
  <c r="I14" i="1"/>
  <c r="I9" i="1"/>
  <c r="I16" i="1"/>
  <c r="I4" i="1"/>
  <c r="I17" i="1"/>
  <c r="I13" i="1"/>
  <c r="I22" i="1"/>
  <c r="I11" i="1"/>
  <c r="I7" i="1"/>
  <c r="I12" i="1"/>
  <c r="I23" i="1"/>
  <c r="I28" i="1"/>
  <c r="I27" i="1"/>
  <c r="I29" i="1"/>
  <c r="I10" i="1"/>
  <c r="I6" i="1"/>
  <c r="B33" i="1" s="1"/>
  <c r="I18" i="1"/>
  <c r="I21" i="1"/>
  <c r="B35" i="1" l="1"/>
  <c r="B51" i="1"/>
  <c r="B53" i="1" s="1"/>
  <c r="B40" i="1"/>
  <c r="B37" i="1"/>
  <c r="O25" i="1"/>
  <c r="O2" i="1" l="1"/>
  <c r="P2" i="1" s="1"/>
  <c r="B36" i="1"/>
  <c r="B41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<sst xmlns="http://schemas.openxmlformats.org/spreadsheetml/2006/main" count="13277" uniqueCount="2482">
  <si>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</si>
  <si>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</si>
  <si>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</si>
  <si>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</si>
  <si>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</si>
  <si>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</si>
  <si>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</si>
  <si>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</si>
  <si>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</si>
  <si>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</si>
  <si>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</si>
  <si>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</si>
  <si>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</si>
  <si>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</si>
  <si>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</si>
  <si>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</si>
  <si>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</si>
  <si>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</si>
  <si>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</si>
  <si>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</si>
  <si>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</si>
  <si>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</si>
  <si>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</si>
  <si>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</si>
  <si>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</si>
  <si>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</si>
  <si>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</si>
  <si>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</si>
  <si>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</si>
  <si>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</si>
  <si>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</si>
  <si>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</si>
  <si>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</si>
  <si>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</si>
  <si>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</si>
  <si>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</si>
  <si>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</si>
  <si>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</si>
  <si>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</si>
  <si>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</si>
  <si>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</si>
  <si>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</si>
  <si>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</si>
  <si>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</si>
  <si>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</si>
  <si>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</si>
  <si>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</si>
  <si>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</si>
  <si>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</si>
  <si>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</si>
  <si>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</si>
  <si>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</si>
  <si>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</si>
  <si>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</si>
  <si>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</si>
  <si>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</si>
  <si>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</si>
  <si>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</si>
  <si>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</si>
  <si>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</si>
  <si>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</si>
  <si>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</si>
  <si>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</si>
  <si>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</si>
  <si>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</si>
  <si>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</si>
  <si>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</si>
  <si>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</si>
  <si>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</si>
  <si>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</si>
  <si>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</si>
  <si>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</si>
  <si>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</si>
  <si>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</si>
  <si>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</si>
  <si>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</si>
  <si>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</si>
  <si>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</si>
  <si>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</si>
  <si>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</si>
  <si>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</si>
  <si>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</si>
  <si>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</si>
  <si>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</si>
  <si>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</si>
  <si>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</si>
  <si>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</si>
  <si>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</si>
  <si>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</si>
  <si>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</si>
  <si>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</si>
  <si>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</si>
  <si>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</si>
  <si>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</si>
  <si>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</si>
  <si>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</si>
  <si>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</si>
  <si>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</si>
  <si>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</si>
  <si>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</si>
  <si>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</si>
  <si>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</si>
  <si>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</si>
  <si>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</si>
  <si>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</si>
  <si>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</si>
  <si>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</si>
  <si>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</si>
  <si>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</si>
  <si>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</si>
  <si>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</si>
  <si>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</si>
  <si>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</si>
  <si>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</si>
  <si>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</si>
  <si>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</si>
  <si>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</si>
  <si>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</si>
  <si>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</si>
  <si>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</si>
  <si>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</si>
  <si>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</si>
  <si>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</si>
  <si>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</si>
  <si>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</si>
  <si>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</si>
  <si>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</si>
  <si>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</si>
  <si>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</si>
  <si>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</si>
  <si>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</si>
  <si>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</si>
  <si>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</si>
  <si>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</si>
  <si>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</si>
  <si>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</si>
  <si>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</si>
  <si>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</si>
  <si>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</si>
  <si>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</si>
  <si>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</si>
  <si>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</si>
  <si>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</si>
  <si>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</si>
  <si>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</si>
  <si>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</si>
  <si>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</si>
  <si>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</si>
  <si>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</si>
  <si>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</si>
  <si>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</si>
  <si>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</si>
  <si>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</si>
  <si>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</si>
  <si>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</si>
  <si>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</si>
  <si>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</si>
  <si>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</si>
  <si>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</si>
  <si>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</si>
  <si>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</si>
  <si>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</si>
  <si>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</si>
  <si>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</si>
  <si>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</si>
  <si>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</si>
  <si>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</si>
  <si>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</si>
  <si>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</si>
  <si>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</si>
  <si>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</si>
  <si>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</si>
  <si>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</si>
  <si>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</si>
  <si>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</si>
  <si>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</si>
  <si>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</si>
  <si>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</si>
  <si>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</si>
  <si>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</si>
  <si>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</si>
  <si>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</si>
  <si>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</si>
  <si>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</si>
  <si>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</si>
  <si>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</si>
  <si>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</si>
  <si>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</si>
  <si>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</si>
  <si>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</si>
  <si>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</si>
  <si>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</si>
  <si>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</si>
  <si>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</si>
  <si>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</si>
  <si>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</si>
  <si>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</si>
  <si>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</si>
  <si>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</si>
  <si>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</si>
  <si>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</si>
  <si>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</si>
  <si>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</si>
  <si>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</si>
  <si>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</si>
  <si>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</si>
  <si>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</si>
  <si>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</si>
  <si>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</si>
  <si>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</si>
  <si>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</si>
  <si>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</si>
  <si>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</si>
  <si>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</si>
  <si>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</si>
  <si>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</si>
  <si>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</si>
  <si>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</si>
  <si>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</si>
  <si>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</si>
  <si>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</si>
  <si>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</si>
  <si>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</si>
  <si>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</si>
  <si>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</si>
  <si>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</si>
  <si>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</si>
  <si>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</si>
  <si>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</si>
  <si>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</si>
  <si>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</si>
  <si>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</si>
  <si>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</si>
  <si>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</si>
  <si>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</si>
  <si>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</si>
  <si>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</si>
  <si>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</si>
  <si>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</si>
  <si>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</si>
  <si>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</si>
  <si>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</si>
  <si>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</si>
  <si>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</si>
  <si>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</si>
  <si>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</si>
  <si>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</si>
  <si>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</si>
  <si>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</si>
  <si>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</si>
  <si>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</si>
  <si>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</si>
  <si>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</si>
  <si>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</si>
  <si>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</si>
  <si>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</si>
  <si>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</si>
  <si>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</si>
  <si>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</si>
  <si>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</si>
  <si>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</si>
  <si>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</si>
  <si>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</si>
  <si>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</si>
  <si>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</si>
  <si>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</si>
  <si>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</si>
  <si>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</si>
  <si>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</si>
  <si>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</si>
  <si>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</si>
  <si>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</si>
  <si>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</si>
  <si>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</si>
  <si>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</si>
  <si>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</si>
  <si>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</si>
  <si>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</si>
  <si>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</si>
  <si>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</si>
  <si>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</si>
  <si>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</si>
  <si>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</si>
  <si>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</si>
  <si>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</si>
  <si>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</si>
  <si>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</si>
  <si>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</si>
  <si>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</si>
  <si>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</si>
  <si>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</si>
  <si>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</si>
  <si>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</si>
  <si>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</si>
  <si>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</si>
  <si>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</si>
  <si>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</si>
  <si>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</si>
  <si>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</si>
  <si>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</si>
  <si>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</si>
  <si>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</si>
  <si>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</si>
  <si>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</si>
  <si>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</si>
  <si>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</si>
  <si>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</si>
  <si>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</si>
  <si>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</si>
  <si>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</si>
  <si>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</si>
  <si>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</si>
  <si>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</si>
  <si>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</si>
  <si>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</si>
  <si>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</si>
  <si>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</si>
  <si>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</si>
  <si>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</si>
  <si>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</si>
  <si>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</si>
  <si>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</si>
  <si>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</si>
  <si>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</si>
  <si>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</si>
  <si>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</si>
  <si>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</si>
  <si>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</si>
  <si>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</si>
  <si>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</si>
  <si>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</si>
  <si>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</si>
  <si>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</si>
  <si>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</si>
  <si>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</si>
  <si>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</si>
  <si>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</si>
  <si>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</si>
  <si>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</si>
  <si>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</si>
  <si>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</si>
  <si>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</si>
  <si>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</si>
  <si>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</si>
  <si>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</si>
  <si>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</si>
  <si>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</si>
  <si>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</si>
  <si>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</si>
  <si>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</si>
  <si>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</si>
  <si>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</si>
  <si>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</si>
  <si>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</si>
  <si>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</si>
  <si>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</si>
  <si>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</si>
  <si>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</si>
  <si>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</si>
  <si>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</si>
  <si>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</si>
  <si>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</si>
  <si>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</si>
  <si>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</si>
  <si>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</si>
  <si>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</si>
  <si>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</si>
  <si>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</si>
  <si>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</si>
  <si>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</si>
  <si>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</si>
  <si>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</si>
  <si>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</si>
  <si>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</si>
  <si>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</si>
  <si>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</si>
  <si>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</si>
  <si>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</si>
  <si>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</si>
  <si>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</si>
  <si>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</si>
  <si>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</si>
  <si>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</si>
  <si>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</si>
  <si>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</si>
  <si>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</si>
  <si>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</si>
  <si>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</si>
  <si>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</si>
  <si>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</si>
  <si>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</si>
  <si>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</si>
  <si>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</si>
  <si>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</si>
  <si>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</si>
  <si>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</si>
  <si>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</si>
  <si>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</si>
  <si>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</si>
  <si>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</si>
  <si>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</si>
  <si>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</si>
  <si>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</si>
  <si>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</si>
  <si>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</si>
  <si>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</si>
  <si>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</si>
  <si>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</si>
  <si>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</si>
  <si>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</si>
  <si>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</si>
  <si>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</si>
  <si>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</si>
  <si>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</si>
  <si>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</si>
  <si>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</si>
  <si>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</si>
  <si>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</si>
  <si>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</si>
  <si>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</si>
  <si>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</si>
  <si>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</si>
  <si>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</si>
  <si>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</si>
  <si>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</si>
  <si>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</si>
  <si>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</si>
  <si>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</si>
  <si>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</si>
  <si>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</si>
  <si>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</si>
  <si>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</si>
  <si>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</si>
  <si>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</si>
  <si>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</si>
  <si>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</si>
  <si>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</si>
  <si>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</si>
  <si>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</si>
  <si>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</si>
  <si>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</si>
  <si>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</si>
  <si>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</si>
  <si>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</si>
  <si>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</si>
  <si>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</si>
  <si>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</si>
  <si>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</si>
  <si>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</si>
  <si>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</si>
  <si>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</si>
  <si>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</si>
  <si>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</si>
  <si>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</si>
  <si>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</si>
  <si>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</si>
  <si>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</si>
  <si>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</si>
  <si>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</si>
  <si>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</si>
  <si>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</si>
  <si>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</si>
  <si>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</si>
  <si>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</si>
  <si>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</si>
  <si>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</si>
  <si>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</si>
  <si>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</si>
  <si>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</si>
  <si>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</si>
  <si>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</si>
  <si>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</si>
  <si>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</si>
  <si>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</si>
  <si>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</si>
  <si>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</si>
  <si>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</si>
  <si>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</si>
  <si>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</si>
  <si>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</si>
  <si>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</si>
  <si>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</si>
  <si>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</si>
  <si>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</si>
  <si>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</si>
  <si>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</si>
  <si>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</si>
  <si>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</si>
  <si>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</si>
  <si>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</si>
  <si>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</si>
  <si>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</si>
  <si>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</si>
  <si>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</si>
  <si>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</si>
  <si>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</si>
  <si>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</si>
  <si>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</si>
  <si>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</si>
  <si>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</si>
  <si>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</si>
  <si>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</si>
  <si>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</si>
  <si>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</si>
  <si>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</si>
  <si>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</si>
  <si>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</si>
  <si>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</si>
  <si>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</si>
  <si>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</si>
  <si>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</si>
  <si>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</si>
  <si>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</si>
  <si>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</si>
  <si>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</si>
  <si>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</si>
  <si>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</si>
  <si>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</si>
  <si>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</si>
  <si>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</si>
  <si>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</si>
  <si>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</si>
  <si>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</si>
  <si>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</si>
  <si>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</si>
  <si>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</si>
  <si>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</si>
  <si>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</si>
  <si>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</si>
  <si>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</si>
  <si>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</si>
  <si>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</si>
  <si>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</si>
  <si>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</si>
  <si>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</si>
  <si>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</si>
  <si>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</si>
  <si>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</si>
  <si>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</si>
  <si>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</si>
  <si>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</si>
  <si>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</si>
  <si>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</si>
  <si>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</si>
  <si>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</si>
  <si>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</si>
  <si>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</si>
  <si>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</si>
  <si>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</si>
  <si>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</si>
  <si>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</si>
  <si>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</si>
  <si>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</si>
  <si>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</si>
  <si>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</si>
  <si>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</si>
  <si>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</si>
  <si>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</si>
  <si>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</si>
  <si>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</si>
  <si>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</si>
  <si>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</si>
  <si>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</si>
  <si>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</si>
  <si>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</si>
  <si>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</si>
  <si>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</si>
  <si>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</si>
  <si>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</si>
  <si>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</si>
  <si>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</si>
  <si>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</si>
  <si>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</si>
  <si>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</si>
  <si>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</si>
  <si>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</si>
  <si>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</si>
  <si>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</si>
  <si>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</si>
  <si>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</si>
  <si>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</si>
  <si>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</si>
  <si>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</si>
  <si>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</si>
  <si>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</si>
  <si>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</si>
  <si>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</si>
  <si>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</si>
  <si>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</si>
  <si>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</si>
  <si>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</si>
  <si>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</si>
  <si>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</si>
  <si>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</si>
  <si>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</si>
  <si>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</si>
  <si>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</si>
  <si>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</si>
  <si>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</si>
  <si>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</si>
  <si>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</si>
  <si>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</si>
  <si>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</si>
  <si>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</si>
  <si>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</si>
  <si>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</si>
  <si>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</si>
  <si>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</si>
  <si>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</si>
  <si>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</si>
  <si>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</si>
  <si>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</si>
  <si>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</si>
  <si>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</si>
  <si>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</si>
  <si>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</si>
  <si>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</si>
  <si>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</si>
  <si>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</si>
  <si>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</si>
  <si>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</si>
  <si>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</si>
  <si>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</si>
  <si>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</si>
  <si>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</si>
  <si>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</si>
  <si>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</si>
  <si>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</si>
  <si>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</si>
  <si>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</si>
  <si>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</si>
  <si>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</si>
  <si>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</si>
  <si>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</si>
  <si>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</si>
  <si>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</si>
  <si>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</si>
  <si>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</si>
  <si>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</si>
  <si>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</si>
  <si>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</si>
  <si>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</si>
  <si>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</si>
  <si>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</si>
  <si>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</si>
  <si>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</si>
  <si>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</si>
  <si>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</si>
  <si>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</si>
  <si>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</si>
  <si>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</si>
  <si>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</si>
  <si>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</si>
  <si>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</si>
  <si>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</si>
  <si>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</si>
  <si>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</si>
  <si>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</si>
  <si>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</si>
  <si>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</si>
  <si>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</si>
  <si>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</si>
  <si>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</si>
  <si>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</si>
  <si>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</si>
  <si>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</si>
  <si>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</si>
  <si>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</si>
  <si>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</si>
  <si>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</si>
  <si>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</si>
  <si>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</si>
  <si>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</si>
  <si>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</si>
  <si>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</si>
  <si>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</si>
  <si>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</si>
  <si>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</si>
  <si>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</si>
  <si>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</si>
  <si>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</si>
  <si>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</si>
  <si>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</si>
  <si>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</si>
  <si>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</si>
  <si>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</si>
  <si>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</si>
  <si>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</si>
  <si>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</si>
  <si>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</si>
  <si>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</si>
  <si>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</si>
  <si>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</si>
  <si>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</si>
  <si>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</si>
  <si>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</si>
  <si>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</si>
  <si>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</si>
  <si>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</si>
  <si>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</si>
  <si>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</si>
  <si>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</si>
  <si>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</si>
  <si>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</si>
  <si>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</si>
  <si>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</si>
  <si>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</si>
  <si>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</si>
  <si>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</si>
  <si>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</si>
  <si>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</si>
  <si>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</si>
  <si>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</si>
  <si>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</si>
  <si>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</si>
  <si>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</si>
  <si>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</si>
  <si>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</si>
  <si>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</si>
  <si>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</si>
  <si>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</si>
  <si>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</si>
  <si>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</si>
  <si>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</si>
  <si>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</si>
  <si>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</si>
  <si>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</si>
  <si>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</si>
  <si>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</si>
  <si>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</si>
  <si>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</si>
  <si>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</si>
  <si>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</si>
  <si>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</si>
  <si>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</si>
  <si>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</si>
  <si>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</si>
  <si>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</si>
  <si>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</si>
  <si>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</si>
  <si>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</si>
  <si>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</si>
  <si>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</si>
  <si>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</si>
  <si>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</si>
  <si>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</si>
  <si>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</si>
  <si>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</si>
  <si>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</si>
  <si>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</si>
  <si>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</si>
  <si>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</si>
  <si>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</si>
  <si>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</si>
  <si>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</si>
  <si>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</si>
  <si>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</si>
  <si>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</si>
  <si>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</si>
  <si>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</si>
  <si>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</si>
  <si>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</si>
  <si>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</si>
  <si>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</si>
  <si>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</si>
  <si>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</si>
  <si>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</si>
  <si>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</si>
  <si>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</si>
  <si>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</si>
  <si>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</si>
  <si>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</si>
  <si>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</si>
  <si>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</si>
  <si>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</si>
  <si>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</si>
  <si>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</si>
  <si>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</si>
  <si>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</si>
  <si>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</si>
  <si>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</si>
  <si>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</si>
  <si>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</si>
  <si>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</si>
  <si>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</si>
  <si>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</si>
  <si>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</si>
  <si>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</si>
  <si>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</si>
  <si>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</si>
  <si>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</si>
  <si>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</si>
  <si>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</si>
  <si>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</si>
  <si>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</si>
  <si>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</si>
  <si>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</si>
  <si>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</si>
  <si>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</si>
  <si>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</si>
  <si>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</si>
  <si>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</si>
  <si>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</si>
  <si>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</si>
  <si>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</si>
  <si>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</si>
  <si>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</si>
  <si>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</si>
  <si>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</si>
  <si>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</si>
  <si>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</si>
  <si>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</si>
  <si>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</si>
  <si>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</si>
  <si>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</si>
  <si>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</si>
  <si>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</si>
  <si>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</si>
  <si>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</si>
  <si>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</si>
  <si>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</si>
  <si>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</si>
  <si>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</si>
  <si>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</si>
  <si>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</si>
  <si>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</si>
  <si>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</si>
  <si>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</si>
  <si>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</si>
  <si>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</si>
  <si>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</si>
  <si>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</si>
  <si>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</si>
  <si>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</si>
  <si>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</si>
  <si>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</si>
  <si>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</si>
  <si>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</si>
  <si>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</si>
  <si>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</si>
  <si>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</si>
  <si>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</si>
  <si>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</si>
  <si>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</si>
  <si>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</si>
  <si>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</si>
  <si>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</si>
  <si>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</si>
  <si>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</si>
  <si>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</si>
  <si>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</si>
  <si>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</si>
  <si>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</si>
  <si>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</si>
  <si>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</si>
  <si>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</si>
  <si>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</si>
  <si>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</si>
  <si>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</si>
  <si>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</si>
  <si>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</si>
  <si>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</si>
  <si>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</si>
  <si>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</si>
  <si>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</si>
  <si>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</si>
  <si>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</si>
  <si>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</si>
  <si>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</si>
  <si>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</si>
  <si>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</si>
  <si>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</si>
  <si>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</si>
  <si>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</si>
  <si>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</si>
  <si>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</si>
  <si>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</si>
  <si>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</si>
  <si>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</si>
  <si>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</si>
  <si>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</si>
  <si>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</si>
  <si>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</si>
  <si>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</si>
  <si>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</si>
  <si>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</si>
  <si>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</si>
  <si>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</si>
  <si>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</si>
  <si>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</si>
  <si>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</si>
  <si>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</si>
  <si>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</si>
  <si>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</si>
  <si>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</si>
  <si>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</si>
  <si>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</si>
  <si>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</si>
  <si>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</si>
  <si>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</si>
  <si>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</si>
  <si>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</si>
  <si>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</si>
  <si>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</si>
  <si>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</si>
  <si>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</si>
  <si>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</si>
  <si>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</si>
  <si>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</si>
  <si>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</si>
  <si>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</si>
  <si>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</si>
  <si>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</si>
  <si>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</si>
  <si>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</si>
  <si>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</si>
  <si>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</si>
  <si>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</si>
  <si>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</si>
  <si>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</si>
  <si>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</si>
  <si>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</si>
  <si>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</si>
  <si>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</si>
  <si>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</si>
  <si>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</si>
  <si>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</si>
  <si>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</si>
  <si>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</si>
  <si>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</si>
  <si>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</si>
  <si>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</si>
  <si>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</si>
  <si>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</si>
  <si>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</si>
  <si>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</si>
  <si>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</si>
  <si>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</si>
  <si>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</si>
  <si>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</si>
  <si>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</si>
  <si>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</si>
  <si>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</si>
  <si>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</si>
  <si>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</si>
  <si>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</si>
  <si>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</si>
  <si>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</si>
  <si>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</si>
  <si>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</si>
  <si>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</si>
  <si>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</si>
  <si>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</si>
  <si>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</si>
  <si>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</si>
  <si>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</si>
  <si>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</si>
  <si>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</si>
  <si>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</si>
  <si>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</si>
  <si>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</si>
  <si>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</si>
  <si>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</si>
  <si>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</si>
  <si>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</si>
  <si>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</si>
  <si>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</si>
  <si>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</si>
  <si>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</si>
  <si>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</si>
  <si>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</si>
  <si>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</si>
  <si>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</si>
  <si>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</si>
  <si>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</si>
  <si>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</si>
  <si>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</si>
  <si>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</si>
  <si>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</si>
  <si>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</si>
  <si>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</si>
  <si>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</si>
  <si>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</si>
  <si>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</si>
  <si>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</si>
  <si>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</si>
  <si>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</si>
  <si>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</si>
  <si>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</si>
  <si>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</si>
  <si>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</si>
  <si>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</si>
  <si>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</si>
  <si>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</si>
  <si>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</si>
  <si>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</si>
  <si>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</si>
  <si>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</si>
  <si>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</si>
  <si>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</si>
  <si>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</si>
  <si>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</si>
  <si>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</si>
  <si>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</si>
  <si>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</si>
  <si>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</si>
  <si>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</si>
  <si>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</si>
  <si>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</si>
  <si>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</si>
  <si>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</si>
  <si>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</si>
  <si>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</si>
  <si>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</si>
  <si>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</si>
  <si>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</si>
  <si>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</si>
  <si>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</si>
  <si>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</si>
  <si>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</si>
  <si>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</si>
  <si>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</si>
  <si>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</si>
  <si>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</si>
  <si>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</si>
  <si>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</si>
  <si>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</si>
  <si>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</si>
  <si>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</si>
  <si>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</si>
  <si>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</si>
  <si>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</si>
  <si>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</si>
  <si>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</si>
  <si>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</si>
  <si>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</si>
  <si>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</si>
  <si>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</si>
  <si>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</si>
  <si>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</si>
  <si>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</si>
  <si>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</si>
  <si>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</si>
  <si>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</si>
  <si>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</si>
  <si>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</si>
  <si>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</si>
  <si>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</si>
  <si>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</si>
  <si>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</si>
  <si>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</si>
  <si>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</si>
  <si>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</si>
  <si>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</si>
  <si>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</si>
  <si>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</si>
  <si>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</si>
  <si>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</si>
  <si>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</si>
  <si>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</si>
  <si>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</si>
  <si>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</si>
  <si>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</si>
  <si>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</si>
  <si>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</si>
  <si>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</si>
  <si>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</si>
  <si>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</si>
  <si>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</si>
  <si>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</si>
  <si>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</si>
  <si>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</si>
  <si>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</si>
  <si>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</si>
  <si>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</si>
  <si>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</si>
  <si>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</si>
  <si>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</si>
  <si>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</si>
  <si>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</si>
  <si>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</si>
  <si>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</si>
  <si>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</si>
  <si>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</si>
  <si>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</si>
  <si>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</si>
  <si>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</si>
  <si>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</si>
  <si>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</si>
  <si>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</si>
  <si>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</si>
  <si>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</si>
  <si>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</si>
  <si>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</si>
  <si>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</si>
  <si>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</si>
  <si>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</si>
  <si>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</si>
  <si>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</si>
  <si>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</si>
  <si>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</si>
  <si>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</si>
  <si>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</si>
  <si>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</si>
  <si>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</si>
  <si>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</si>
  <si>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</si>
  <si>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</si>
  <si>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</si>
  <si>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</si>
  <si>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</si>
  <si>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</si>
  <si>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</si>
  <si>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</si>
  <si>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</si>
  <si>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</si>
  <si>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</si>
  <si>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</si>
  <si>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</si>
  <si>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</si>
  <si>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</si>
  <si>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</si>
  <si>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</si>
  <si>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</si>
  <si>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</si>
  <si>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</si>
  <si>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</si>
  <si>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</si>
  <si>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</si>
  <si>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</si>
  <si>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</si>
  <si>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</si>
  <si>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</si>
  <si>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</si>
  <si>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</si>
  <si>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</si>
  <si>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</si>
  <si>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</si>
  <si>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</si>
  <si>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</si>
  <si>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</si>
  <si>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</si>
  <si>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</si>
  <si>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</si>
  <si>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</si>
  <si>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</si>
  <si>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</si>
  <si>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</si>
  <si>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</si>
  <si>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</si>
  <si>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</si>
  <si>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</si>
  <si>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</si>
  <si>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</si>
  <si>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</si>
  <si>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</si>
  <si>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</si>
  <si>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</si>
  <si>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</si>
  <si>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</si>
  <si>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</si>
  <si>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</si>
  <si>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</si>
  <si>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</si>
  <si>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</si>
  <si>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</si>
  <si>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</si>
  <si>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</si>
  <si>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</si>
  <si>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</si>
  <si>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</si>
  <si>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</si>
  <si>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</si>
  <si>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</si>
  <si>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</si>
  <si>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</si>
  <si>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</si>
  <si>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</si>
  <si>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</si>
  <si>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</si>
  <si>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</si>
  <si>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</si>
  <si>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</si>
  <si>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</si>
  <si>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</si>
  <si>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</si>
  <si>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</si>
  <si>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</si>
  <si>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</si>
  <si>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</si>
  <si>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</si>
  <si>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</si>
  <si>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</si>
  <si>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</si>
  <si>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</si>
  <si>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</si>
  <si>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</si>
  <si>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</si>
  <si>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</si>
  <si>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</si>
  <si>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</si>
  <si>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</si>
  <si>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</si>
  <si>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</si>
  <si>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</si>
  <si>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</si>
  <si>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</si>
  <si>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</si>
  <si>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</si>
  <si>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</si>
  <si>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</si>
  <si>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</si>
  <si>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</si>
  <si>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</si>
  <si>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</si>
  <si>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</si>
  <si>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</si>
  <si>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</si>
  <si>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</si>
  <si>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</si>
  <si>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</si>
  <si>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</si>
  <si>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</si>
  <si>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</si>
  <si>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</si>
  <si>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</si>
  <si>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</si>
  <si>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</si>
  <si>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</si>
  <si>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</si>
  <si>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</si>
  <si>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</si>
  <si>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</si>
  <si>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</si>
  <si>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</si>
  <si>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</si>
  <si>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</si>
  <si>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</si>
  <si>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</si>
  <si>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</si>
  <si>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</si>
  <si>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</si>
  <si>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</si>
  <si>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</si>
  <si>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</si>
  <si>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</si>
  <si>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</si>
  <si>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</si>
  <si>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</si>
  <si>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</si>
  <si>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</si>
  <si>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</si>
  <si>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</si>
  <si>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</si>
  <si>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</si>
  <si>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</si>
  <si>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</si>
  <si>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</si>
  <si>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</si>
  <si>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</si>
  <si>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</si>
  <si>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</si>
  <si>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</si>
  <si>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</si>
  <si>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</si>
  <si>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</si>
  <si>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</si>
  <si>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</si>
  <si>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</si>
  <si>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</si>
  <si>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</si>
  <si>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</si>
  <si>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</si>
  <si>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</si>
  <si>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</si>
  <si>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</si>
  <si>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</si>
  <si>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</si>
  <si>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</si>
  <si>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</si>
  <si>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</si>
  <si>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</si>
  <si>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</si>
  <si>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</si>
  <si>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</si>
  <si>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</si>
  <si>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</si>
  <si>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</si>
  <si>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</si>
  <si>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</si>
  <si>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</si>
  <si>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</si>
  <si>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</si>
  <si>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</si>
  <si>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</si>
  <si>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</si>
  <si>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</si>
  <si>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</si>
  <si>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</si>
  <si>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</si>
  <si>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</si>
  <si>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</si>
  <si>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</si>
  <si>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</si>
  <si>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</si>
  <si>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</si>
  <si>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</si>
  <si>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</si>
  <si>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</si>
  <si>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</si>
  <si>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</si>
  <si>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</si>
  <si>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</si>
  <si>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</si>
  <si>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</si>
  <si>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</si>
  <si>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</si>
  <si>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</si>
  <si>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</si>
  <si>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</si>
  <si>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</si>
  <si>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</si>
  <si>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</si>
  <si>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</si>
  <si>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</si>
  <si>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</si>
  <si>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</si>
  <si>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</si>
  <si>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</si>
  <si>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</si>
  <si>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</si>
  <si>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</si>
  <si>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</si>
  <si>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</si>
  <si>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</si>
  <si>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</si>
  <si>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</si>
  <si>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</si>
  <si>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</si>
  <si>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</si>
  <si>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</si>
  <si>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</si>
  <si>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</si>
  <si>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</si>
  <si>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</si>
  <si>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</si>
  <si>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</si>
  <si>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</si>
  <si>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</si>
  <si>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</si>
  <si>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</si>
  <si>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</si>
  <si>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</si>
  <si>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</si>
  <si>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</si>
  <si>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</si>
  <si>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</si>
  <si>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</si>
  <si>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</si>
  <si>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</si>
  <si>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</si>
  <si>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</si>
  <si>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</si>
  <si>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</si>
  <si>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</si>
  <si>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</si>
  <si>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</si>
  <si>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</si>
  <si>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</si>
  <si>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</si>
  <si>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</si>
  <si>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</si>
  <si>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</si>
  <si>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</si>
  <si>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</si>
  <si>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</si>
  <si>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</si>
  <si>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</si>
  <si>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</si>
  <si>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</si>
  <si>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</si>
  <si>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</si>
  <si>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</si>
  <si>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</si>
  <si>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</si>
  <si>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</si>
  <si>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</si>
  <si>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</si>
  <si>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</si>
  <si>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</si>
  <si>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</si>
  <si>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</si>
  <si>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</si>
  <si>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</si>
  <si>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</si>
  <si>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</si>
  <si>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</si>
  <si>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</si>
  <si>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</si>
  <si>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</si>
  <si>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</si>
  <si>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</si>
  <si>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</si>
  <si>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</si>
  <si>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</si>
  <si>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</si>
  <si>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</si>
  <si>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</si>
  <si>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</si>
  <si>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</si>
  <si>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</si>
  <si>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</si>
  <si>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</si>
  <si>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</si>
  <si>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</si>
  <si>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</si>
  <si>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</si>
  <si>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</si>
  <si>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</si>
  <si>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</si>
  <si>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</si>
  <si>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</si>
  <si>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</si>
  <si>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</si>
  <si>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</si>
  <si>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</si>
  <si>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</si>
  <si>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</si>
  <si>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</si>
  <si>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</si>
  <si>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</si>
  <si>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</si>
  <si>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</si>
  <si>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</si>
  <si>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</si>
  <si>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</si>
  <si>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</si>
  <si>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</si>
  <si>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</si>
  <si>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</si>
  <si>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</si>
  <si>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</si>
  <si>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</si>
  <si>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</si>
  <si>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</si>
  <si>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</si>
  <si>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</si>
  <si>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</si>
  <si>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</si>
  <si>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</si>
  <si>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</si>
  <si>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</si>
  <si>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</si>
  <si>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</si>
  <si>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</si>
  <si>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</si>
  <si>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</si>
  <si>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</si>
  <si>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</si>
  <si>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</si>
  <si>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</si>
  <si>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</si>
  <si>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</si>
  <si>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</si>
  <si>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</si>
  <si>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</si>
  <si>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</si>
  <si>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</si>
  <si>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</si>
  <si>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</si>
  <si>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</si>
  <si>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</si>
  <si>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</si>
  <si>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</si>
  <si>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</si>
  <si>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</si>
  <si>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</si>
  <si>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</si>
  <si>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</si>
  <si>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</si>
  <si>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</si>
  <si>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</si>
  <si>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</si>
  <si>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</si>
  <si>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</si>
  <si>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</si>
  <si>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</si>
  <si>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</si>
  <si>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</si>
  <si>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</si>
  <si>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</si>
  <si>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</si>
  <si>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</si>
  <si>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</si>
  <si>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</si>
  <si>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</si>
  <si>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</si>
  <si>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</si>
  <si>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</si>
  <si>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</si>
  <si>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</si>
  <si>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</si>
  <si>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</si>
  <si>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</si>
  <si>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</si>
  <si>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</si>
  <si>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</si>
  <si>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</si>
  <si>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</si>
  <si>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</si>
  <si>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</si>
  <si>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</si>
  <si>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</si>
  <si>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</si>
  <si>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</si>
  <si>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</si>
  <si>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</si>
  <si>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</si>
  <si>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</si>
  <si>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</si>
  <si>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</si>
  <si>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</si>
  <si>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</si>
  <si>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</si>
  <si>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</si>
  <si>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</si>
  <si>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</si>
  <si>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</si>
  <si>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</si>
  <si>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</si>
  <si>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</si>
  <si>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</si>
  <si>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</si>
  <si>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</si>
  <si>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</si>
  <si>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</si>
  <si>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</si>
  <si>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</si>
  <si>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</si>
  <si>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</si>
  <si>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</si>
  <si>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</si>
  <si>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</si>
  <si>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</si>
  <si>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</si>
  <si>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</si>
  <si>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</si>
  <si>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</si>
  <si>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</si>
  <si>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</si>
  <si>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</si>
  <si>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</si>
  <si>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</si>
  <si>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</si>
  <si>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</si>
  <si>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</si>
  <si>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</si>
  <si>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</si>
  <si>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</si>
  <si>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</si>
  <si>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</si>
  <si>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</si>
  <si>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</si>
  <si>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</si>
  <si>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</si>
  <si>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</si>
  <si>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</si>
  <si>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</si>
  <si>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</si>
  <si>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</si>
  <si>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</si>
  <si>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</si>
  <si>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</si>
  <si>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</si>
  <si>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</si>
  <si>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</si>
  <si>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</si>
  <si>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</si>
  <si>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</si>
  <si>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</si>
  <si>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</si>
  <si>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</si>
  <si>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</si>
  <si>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</si>
  <si>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</si>
  <si>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</si>
  <si>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</si>
  <si>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</si>
  <si>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</si>
  <si>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</si>
  <si>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</si>
  <si>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</si>
  <si>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</si>
  <si>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</si>
  <si>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</si>
  <si>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</si>
  <si>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</si>
  <si>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</si>
  <si>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</si>
  <si>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</si>
  <si>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</si>
  <si>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</si>
  <si>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</si>
  <si>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</si>
  <si>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</si>
  <si>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</si>
  <si>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</si>
  <si>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</si>
  <si>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</si>
  <si>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</si>
  <si>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</si>
  <si>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</si>
  <si>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</si>
  <si>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</si>
  <si>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</si>
  <si>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</si>
  <si>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</si>
  <si>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</si>
  <si>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</si>
  <si>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</si>
  <si>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</si>
  <si>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</si>
  <si>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</si>
  <si>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</si>
  <si>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</si>
  <si>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</si>
  <si>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</si>
  <si>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</si>
  <si>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</si>
  <si>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</si>
  <si>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</si>
  <si>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</si>
  <si>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</si>
  <si>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</si>
  <si>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</si>
  <si>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</si>
  <si>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</si>
  <si>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</si>
  <si>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</si>
  <si>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</si>
  <si>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</si>
  <si>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</si>
  <si>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</si>
  <si>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</si>
  <si>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</si>
  <si>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</si>
  <si>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</si>
  <si>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</si>
  <si>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</si>
  <si>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</si>
  <si>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</si>
  <si>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</si>
  <si>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</si>
  <si>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</si>
  <si>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</si>
  <si>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</si>
  <si>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</si>
  <si>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</si>
  <si>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</si>
  <si>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</si>
  <si>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</si>
  <si>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</si>
  <si>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</si>
  <si>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</si>
  <si>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</si>
  <si>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</si>
  <si>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</si>
  <si>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</si>
  <si>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</si>
  <si>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</si>
  <si>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</si>
  <si>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</si>
  <si>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</si>
  <si>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</si>
  <si>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</si>
  <si>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</si>
  <si>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</si>
  <si>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</si>
  <si>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</si>
  <si>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</si>
  <si>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</si>
  <si>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</si>
  <si>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</si>
  <si>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</si>
  <si>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</si>
  <si>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</si>
  <si>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</si>
  <si>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</si>
  <si>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</si>
  <si>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</si>
  <si>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</si>
  <si>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</si>
  <si>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</si>
  <si>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</si>
  <si>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</si>
  <si>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</si>
  <si>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</si>
  <si>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</si>
  <si>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</si>
  <si>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</si>
  <si>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</si>
  <si>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</si>
  <si>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</si>
  <si>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</si>
  <si>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</si>
  <si>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</si>
  <si>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</si>
  <si>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</si>
  <si>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</si>
  <si>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</si>
  <si>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</si>
  <si>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</si>
  <si>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</si>
  <si>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</si>
  <si>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</si>
  <si>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</si>
  <si>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</si>
  <si>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</si>
  <si>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</si>
  <si>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</si>
  <si>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</si>
  <si>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</si>
  <si>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</si>
  <si>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</si>
  <si>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</si>
  <si>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</si>
  <si>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</si>
  <si>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</si>
  <si>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</si>
  <si>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</si>
  <si>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</si>
  <si>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</si>
  <si>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</si>
  <si>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</si>
  <si>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</si>
  <si>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</si>
  <si>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</si>
  <si>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</si>
  <si>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</si>
  <si>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</si>
  <si>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</si>
  <si>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</si>
  <si>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</si>
  <si>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</si>
  <si>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</si>
  <si>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</si>
  <si>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</si>
  <si>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</si>
  <si>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</si>
  <si>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</si>
  <si>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</si>
  <si>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</si>
  <si>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</si>
  <si>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</si>
  <si>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</si>
  <si>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</si>
  <si>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</si>
  <si>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</si>
  <si>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</si>
  <si>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</si>
  <si>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</si>
  <si>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</si>
  <si>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</si>
  <si>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</si>
  <si>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</si>
  <si>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</si>
  <si>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</si>
  <si>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</si>
  <si>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</si>
  <si>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</si>
  <si>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</si>
  <si>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</si>
  <si>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</si>
  <si>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</si>
  <si>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</si>
  <si>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</si>
  <si>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</si>
  <si>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</si>
  <si>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</si>
  <si>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</si>
  <si>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</si>
  <si>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</si>
  <si>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</si>
  <si>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</si>
  <si>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</si>
  <si>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</si>
  <si>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</si>
  <si>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</si>
  <si>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</si>
  <si>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</si>
  <si>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</si>
  <si>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</si>
  <si>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</si>
  <si>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</si>
  <si>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</si>
  <si>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</si>
  <si>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</si>
  <si>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</si>
  <si>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</si>
  <si>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</si>
  <si>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</si>
  <si>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</si>
  <si>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</si>
  <si>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</si>
  <si>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</si>
  <si>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</si>
  <si>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</si>
  <si>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</si>
  <si>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</si>
  <si>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</si>
  <si>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</si>
  <si>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</si>
  <si>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</si>
  <si>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</si>
  <si>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</si>
  <si>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</si>
  <si>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</si>
  <si>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</si>
  <si>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</si>
  <si>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</si>
  <si>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</si>
  <si>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</si>
  <si>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</si>
  <si>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</si>
  <si>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</si>
  <si>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</si>
  <si>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</si>
  <si>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</si>
  <si>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</si>
  <si>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</si>
  <si>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</si>
  <si>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</si>
  <si>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</si>
  <si>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</si>
  <si>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</si>
  <si>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</si>
  <si>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</si>
  <si>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</si>
  <si>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</si>
  <si>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</si>
  <si>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</si>
  <si>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</si>
  <si>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</si>
  <si>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</si>
  <si>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</si>
  <si>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</si>
  <si>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</si>
  <si>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</si>
  <si>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</si>
  <si>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</si>
  <si>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</si>
  <si>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</si>
  <si>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</si>
  <si>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</si>
  <si>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</si>
  <si>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</si>
  <si>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</si>
  <si>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</si>
  <si>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</si>
  <si>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</si>
  <si>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</si>
  <si>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</si>
  <si>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</si>
  <si>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</si>
  <si>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</si>
  <si>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</si>
  <si>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</si>
  <si>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</si>
  <si>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</si>
  <si>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</si>
  <si>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</si>
  <si>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</si>
  <si>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</si>
  <si>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</si>
  <si>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</si>
  <si>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</si>
  <si>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</si>
  <si>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</si>
  <si>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</si>
  <si>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</si>
  <si>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</si>
  <si>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</si>
  <si>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</si>
  <si>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</si>
  <si>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</si>
  <si>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</si>
  <si>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</si>
  <si>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</si>
  <si>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</si>
  <si>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</si>
  <si>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</si>
  <si>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</si>
  <si>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</si>
  <si>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</si>
  <si>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</si>
  <si>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</si>
  <si>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</si>
  <si>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</si>
  <si>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</si>
  <si>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</si>
  <si>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</si>
  <si>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</si>
  <si>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</si>
  <si>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</si>
  <si>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</si>
  <si>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</si>
  <si>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</si>
  <si>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</si>
  <si>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</si>
  <si>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</si>
  <si>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</si>
  <si>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</si>
  <si>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</si>
  <si>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</si>
  <si>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</si>
  <si>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</si>
  <si>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</si>
  <si>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</si>
  <si>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</si>
  <si>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</si>
  <si>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</si>
  <si>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</si>
  <si>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</si>
  <si>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</si>
  <si>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</si>
  <si>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</si>
  <si>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</si>
  <si>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</si>
  <si>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</si>
  <si>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</si>
  <si>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</si>
  <si>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</si>
  <si>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</si>
  <si>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</si>
  <si>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</si>
  <si>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</si>
  <si>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</si>
  <si>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</si>
  <si>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</si>
  <si>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</si>
  <si>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</si>
  <si>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</si>
  <si>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</si>
  <si>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</si>
  <si>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</si>
  <si>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</si>
  <si>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</si>
  <si>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</si>
  <si>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</si>
  <si>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</si>
  <si>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</si>
  <si>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</si>
  <si>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</si>
  <si>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</si>
  <si>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</si>
  <si>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</si>
  <si>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</si>
  <si>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</si>
  <si>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</si>
  <si>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</si>
  <si>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</si>
  <si>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</si>
  <si>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</si>
  <si>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</si>
  <si>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</si>
  <si>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</si>
  <si>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</si>
  <si>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</si>
  <si>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</si>
  <si>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</si>
  <si>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</si>
  <si>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</si>
  <si>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</si>
  <si>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</si>
  <si>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</si>
  <si>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</si>
  <si>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</si>
  <si>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</si>
  <si>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</si>
  <si>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</si>
  <si>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</si>
  <si>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</si>
  <si>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</si>
  <si>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</si>
  <si>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</si>
  <si>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</si>
  <si>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</si>
  <si>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</si>
  <si>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</si>
  <si>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</si>
  <si>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</si>
  <si>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</si>
  <si>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</si>
  <si>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</si>
  <si>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</si>
  <si>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</si>
  <si>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</si>
  <si>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</si>
  <si>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</si>
  <si>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</si>
  <si>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</si>
  <si>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</si>
  <si>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</si>
  <si>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</si>
  <si>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</si>
  <si>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</si>
  <si>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</si>
  <si>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</si>
  <si>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</si>
  <si>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</si>
  <si>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</si>
  <si>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</si>
  <si>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</si>
  <si>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</si>
  <si>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</si>
  <si>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</si>
  <si>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</si>
  <si>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</si>
  <si>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</si>
  <si>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</si>
  <si>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</si>
  <si>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</si>
  <si>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</si>
  <si>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</si>
  <si>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</si>
  <si>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</si>
  <si>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</si>
  <si>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</si>
  <si>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</si>
  <si>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</si>
  <si>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</si>
  <si>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</si>
  <si>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</si>
  <si>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</si>
  <si>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</si>
  <si>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</si>
  <si>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</si>
  <si>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</si>
  <si>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</si>
  <si>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</si>
  <si>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</si>
  <si>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</si>
  <si>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</si>
  <si>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</si>
  <si>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</si>
  <si>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</si>
  <si>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</si>
  <si>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</si>
  <si>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</si>
  <si>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</si>
  <si>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</si>
  <si>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</si>
  <si>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</si>
  <si>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</si>
  <si>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</si>
  <si>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</si>
  <si>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</si>
  <si>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</si>
  <si>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</si>
  <si>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</si>
  <si>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</si>
  <si>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</si>
  <si>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</si>
  <si>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</si>
  <si>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</si>
  <si>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</si>
  <si>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</si>
  <si>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</si>
  <si>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</si>
  <si>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</si>
  <si>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</si>
  <si>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</si>
  <si>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</si>
  <si>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</si>
  <si>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</si>
  <si>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</si>
  <si>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</si>
  <si>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</si>
  <si>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</si>
  <si>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</si>
  <si>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</si>
  <si>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</si>
  <si>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</si>
  <si>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</si>
  <si>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</si>
  <si>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</si>
  <si>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</si>
  <si>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</si>
  <si>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</si>
  <si>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</si>
  <si>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</si>
  <si>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</si>
  <si>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</si>
  <si>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</si>
  <si>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</si>
  <si>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</si>
  <si>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</si>
  <si>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</si>
  <si>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</si>
  <si>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</si>
  <si>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</si>
  <si>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</si>
  <si>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</si>
  <si>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</si>
  <si>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</si>
  <si>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</si>
  <si>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</si>
  <si>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</si>
  <si>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</si>
  <si>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</si>
  <si>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</si>
  <si>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</si>
  <si>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</si>
  <si>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</si>
  <si>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</si>
  <si>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</si>
  <si>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</si>
  <si>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</si>
  <si>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</si>
  <si>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</si>
  <si>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</si>
  <si>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</si>
  <si>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</si>
  <si>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</si>
  <si>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</si>
  <si>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</si>
  <si>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</si>
  <si>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</si>
  <si>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</si>
  <si>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</si>
  <si>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</si>
  <si>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</si>
  <si>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</si>
  <si>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</si>
  <si>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</si>
  <si>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</si>
  <si>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</si>
  <si>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</si>
  <si>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</si>
  <si>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</si>
  <si>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</si>
  <si>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</si>
  <si>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</si>
  <si>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>81SH</t>
  </si>
  <si>
    <t>81SH Side Hinge</t>
  </si>
  <si>
    <t>Service Mode Discount %</t>
  </si>
  <si>
    <t>Exposed Folding Door Acc</t>
  </si>
  <si>
    <t>Conceal Folding Door Acc</t>
  </si>
  <si>
    <t>Hinge HD Conceal</t>
  </si>
  <si>
    <t>Conceal Folding Door</t>
  </si>
  <si>
    <t>Heavy Duty Conceal Hinge</t>
  </si>
  <si>
    <t>T21028</t>
  </si>
  <si>
    <t>Conceal Folding Door Transmission Lock Box</t>
  </si>
  <si>
    <t>MDH14-S</t>
  </si>
  <si>
    <t>Conceal Folding Door Multipoint Door Handle Single Side Black</t>
  </si>
  <si>
    <t>FD-33 HD-310N</t>
  </si>
  <si>
    <t>Conceal Folding Door Top Roller Set With 4 Set Nylon Wheels</t>
  </si>
  <si>
    <t>NOS</t>
  </si>
  <si>
    <t>FD-33 HD-320</t>
  </si>
  <si>
    <t>Conceal Folding Door Bottom Guide Set With Bearing Roller</t>
  </si>
  <si>
    <t>FD-5560</t>
  </si>
  <si>
    <t>Conceal Folding Door Concealed Flush Bolt Black Big</t>
  </si>
  <si>
    <t>PRS</t>
  </si>
  <si>
    <t>SET</t>
  </si>
  <si>
    <t>911C 37.5MM</t>
  </si>
  <si>
    <t>Conceal Folding Door LB Inner &amp; Outer Aluminium Bracket</t>
  </si>
  <si>
    <t>CFD-LOCKSET-SET</t>
  </si>
  <si>
    <t>Conceal Folding Door Lockset Set (PRIMS LR 316 + JDB Mortise + CYL-70-SGL)</t>
  </si>
  <si>
    <t>EHMW-OUTER</t>
  </si>
  <si>
    <t>EHMW-SMALLMULLION</t>
  </si>
  <si>
    <t>EHMW-GLASSBEADING</t>
  </si>
  <si>
    <t>EHMW-72MMINNER</t>
  </si>
  <si>
    <t>EHMW-BIGMULLION</t>
  </si>
  <si>
    <t>EHMW-69MMINNER</t>
  </si>
  <si>
    <t>Glass Beading</t>
  </si>
  <si>
    <t xml:space="preserve">Inner - 72mm </t>
  </si>
  <si>
    <t xml:space="preserve">Inner - 69mm </t>
  </si>
  <si>
    <t>Mullion - Small</t>
  </si>
  <si>
    <t>Mullion - Big</t>
  </si>
  <si>
    <t>TMP-CWP-MPE-ANGLE-PLATE-164X23</t>
  </si>
  <si>
    <t>TMP-CWP-MPE-INNER-BRACKET</t>
  </si>
  <si>
    <t>TMP-CWP-MPE-OUTER-BRACKET</t>
  </si>
  <si>
    <t>TMP-CWP-MPE-FRICTION-STAY</t>
  </si>
  <si>
    <t>TMP-CWP-MPE-GLASS-GASKET</t>
  </si>
  <si>
    <t>Double Side Panel Inner Glass Gasket</t>
  </si>
  <si>
    <t>TMP-CWP-MPE-INNER-GASKET</t>
  </si>
  <si>
    <t>TMP-CWP-MPE-OUTER-GASKET</t>
  </si>
  <si>
    <t>TMP-CWP-MPE-HANDLE-036</t>
  </si>
  <si>
    <t>TMP-CWP-MPE-HINGE-805</t>
  </si>
  <si>
    <t>TMP-CWP-MPE-LOCK-CAM-807</t>
  </si>
  <si>
    <t>TMP-CWP-MPE-MP-KEEPER-804-6MM</t>
  </si>
  <si>
    <t>TMP-CWP-MPE-PUSH-ROD-808-30MM</t>
  </si>
  <si>
    <t>CASEMENT WINDOW PERFORMANCE MULTI-POINT EXPOSED</t>
  </si>
  <si>
    <t>Top Hang SLD Track</t>
  </si>
  <si>
    <t>Top Hang Track</t>
  </si>
  <si>
    <t>THSLD-TRACK</t>
  </si>
  <si>
    <t>Vertical Innner Profile ↕</t>
  </si>
  <si>
    <t>Horizontal  Innner Profile ↔</t>
  </si>
  <si>
    <t>Margin %</t>
  </si>
  <si>
    <t>Mini Pro</t>
  </si>
  <si>
    <t>Mini Lite</t>
  </si>
  <si>
    <t>One Lite</t>
  </si>
  <si>
    <t>One Pro</t>
  </si>
  <si>
    <t>One Air</t>
  </si>
  <si>
    <t>King Pro</t>
  </si>
  <si>
    <t>King Air</t>
  </si>
  <si>
    <t>Composite</t>
  </si>
  <si>
    <t>Full Louvers</t>
  </si>
  <si>
    <t>ecobonz 2.5mm Glossy / VACP 800 Series</t>
  </si>
  <si>
    <t>N.Clear Glass 4mm</t>
  </si>
  <si>
    <t>ecoscreen 2.5mm</t>
  </si>
  <si>
    <t>N.Glass + Lamina Film [Full] 4mm / N.Dark Grey Glass 4mm</t>
  </si>
  <si>
    <t>Aerolite</t>
  </si>
  <si>
    <t>N.Clear Glass 5mm</t>
  </si>
  <si>
    <t>N.Glass + Lamina Film [Full] 5mm / N.Dark Grey Glass 5mm</t>
  </si>
  <si>
    <t>Tempered Glass 5mm</t>
  </si>
  <si>
    <t>NA / WH / BK</t>
  </si>
  <si>
    <t>Bi-Fold</t>
  </si>
  <si>
    <t>Frame Adjustable</t>
  </si>
  <si>
    <t>Frame Rate</t>
  </si>
  <si>
    <t>WH / GR</t>
  </si>
  <si>
    <t>Lattice Rate</t>
  </si>
  <si>
    <t>Panel / Infill Rate</t>
  </si>
  <si>
    <t>Service Mode Rate</t>
  </si>
  <si>
    <t>Louvers</t>
  </si>
  <si>
    <t>Louvers Rate</t>
  </si>
  <si>
    <t>Eco Art Panel 4.5mm</t>
  </si>
  <si>
    <t>Ventilator</t>
  </si>
  <si>
    <t>Modifier Code</t>
  </si>
  <si>
    <t>Quantity</t>
  </si>
  <si>
    <t>Rate</t>
  </si>
  <si>
    <t>ADD_SIZE_COMPLETE</t>
  </si>
  <si>
    <t>Additional Size - Complete Set</t>
  </si>
  <si>
    <t>ADD_SIZE_FRAME_ONLY</t>
  </si>
  <si>
    <t>Additional Size - Frame Only</t>
  </si>
  <si>
    <t>ADD_SIZE_FULL_LOUVERS</t>
  </si>
  <si>
    <t>Additional Size - Full Louvers</t>
  </si>
  <si>
    <t>HFIX_FRAME_ONLY</t>
  </si>
  <si>
    <t>Hollow Fix - Frame Only</t>
  </si>
  <si>
    <t>HFIX_COMPOSITE</t>
  </si>
  <si>
    <t>Hollow Fix - Composite</t>
  </si>
  <si>
    <t>HFIX_ECOBONZ</t>
  </si>
  <si>
    <t>Hollow Fix - ecobonz 2.5mm Glossy / VACP 800 Series</t>
  </si>
  <si>
    <t>HFIX_CLEAR_GLASS</t>
  </si>
  <si>
    <t>Hollow Fix - N.Clear Glass 5mm</t>
  </si>
  <si>
    <t>HFIX_ECOSCREEN</t>
  </si>
  <si>
    <t>Hollow Fix - ecoscreen 2.5mm</t>
  </si>
  <si>
    <t>HFIX_LAMINA_DARK_GREY</t>
  </si>
  <si>
    <t>Hollow Fix - N.Glass + Lamina Film [Full] 5mm / N.Dark Grey Glass 5mm</t>
  </si>
  <si>
    <t>HFIX_ECOPOLY</t>
  </si>
  <si>
    <t>Hollow Fix - ecopoly 2.5mm</t>
  </si>
  <si>
    <t>HFIX_AEROLITE</t>
  </si>
  <si>
    <t>Hollow Fix - Aerolite</t>
  </si>
  <si>
    <t>HFIX_TEMPERED_GLASS</t>
  </si>
  <si>
    <t>Hollow Fix - Tempered Glass 5mm</t>
  </si>
  <si>
    <t>HFIX_ECO_ART_ADD</t>
  </si>
  <si>
    <t>Hollow Fix - Eco Art Panel 4.5mm Additional</t>
  </si>
  <si>
    <t>HFIX_LATTICE_ADD</t>
  </si>
  <si>
    <t>Hollow Fix - Lattice Design Additional</t>
  </si>
  <si>
    <t>HFIX_INSTALL_SET</t>
  </si>
  <si>
    <t>HFIX_INSTALL_MIN_SITE</t>
  </si>
  <si>
    <t>Hollow Fix Installation Minimum Labour Charges</t>
  </si>
  <si>
    <t>Site</t>
  </si>
  <si>
    <t>NA / WH / BK / GR</t>
  </si>
  <si>
    <t>ecobonz 2.5mm Glossy / Composite</t>
  </si>
  <si>
    <t>VACP 800 Series</t>
  </si>
  <si>
    <t>SWG_ADD_SIZE_COMPLETE</t>
  </si>
  <si>
    <t>Additional Size - Swing Door Complete Set</t>
  </si>
  <si>
    <t>SWG_ADD_SIZE_FRAME_ONLY</t>
  </si>
  <si>
    <t>Additional Size - Swing Door Frame Only</t>
  </si>
  <si>
    <t>SWG_ADD_SIZE_FULL_LOUVERS</t>
  </si>
  <si>
    <t>Additional Size - Swing Door Full Louvers</t>
  </si>
  <si>
    <t>SWG_DUST_SOCKET</t>
  </si>
  <si>
    <t>No</t>
  </si>
  <si>
    <t>SWG_FLASH_BOLT</t>
  </si>
  <si>
    <t>Flash Bolt</t>
  </si>
  <si>
    <t>SWG_HDS3501</t>
  </si>
  <si>
    <t>SWG_CHANGE_S848KEY</t>
  </si>
  <si>
    <t>Change to S848Key</t>
  </si>
  <si>
    <t>SWG_ADD_FRAME_740A</t>
  </si>
  <si>
    <t>Add Swing Door Frame 740A</t>
  </si>
  <si>
    <t>SDF740_ADD_SIZE_STEP</t>
  </si>
  <si>
    <t>Additional Size - Swing Door Frame 740A per 3" W/H Step</t>
  </si>
  <si>
    <t>Step</t>
  </si>
  <si>
    <t>SDF740_INSTALL_SET</t>
  </si>
  <si>
    <t>Swing Door Frame 740A Installation Charges</t>
  </si>
  <si>
    <t>SDF740_INSTALL_MIN_SITE</t>
  </si>
  <si>
    <t>Swing Door Frame 740A Installation Minimum Labour Charges</t>
  </si>
  <si>
    <t>▼ [Service Mode]</t>
  </si>
  <si>
    <t>▼ [Product Type]</t>
  </si>
  <si>
    <t>▼ [Product Subtype]</t>
  </si>
  <si>
    <t>Height (in)</t>
  </si>
  <si>
    <t>Width (in)</t>
  </si>
  <si>
    <t>▼ [Frame Finish]</t>
  </si>
  <si>
    <t>▼ [Panel / Infill]</t>
  </si>
  <si>
    <t>All Sliding</t>
  </si>
  <si>
    <t>Installation Minimum Rate / Site</t>
  </si>
  <si>
    <t>Supplier Rule / Remark</t>
  </si>
  <si>
    <t>110A - Front Entry (Wall to Wall) - 2 Doors / 3 Doors</t>
  </si>
  <si>
    <t>Maximum all-sliding width: Glass 54in; Acrylic &amp; Eco Art Panel 66in</t>
  </si>
  <si>
    <t>N.Glass + Lamina Film [Full] 4mm</t>
  </si>
  <si>
    <t>Frame Only</t>
  </si>
  <si>
    <t>190A - Fix</t>
  </si>
  <si>
    <t>Maximum width 72in; width 48in and above must add Lattice</t>
  </si>
  <si>
    <t>120A Corner Entry / 110A Front Entry (Wall to Wall) - 4 Doors</t>
  </si>
  <si>
    <t>Shared supplier price group for 120A Corner Entry and 110A Front Entry (Wall to Wall), 4 Doors</t>
  </si>
  <si>
    <t>WH / BK</t>
  </si>
  <si>
    <t xml:space="preserve"> </t>
  </si>
  <si>
    <t>All Sliding Rate</t>
  </si>
  <si>
    <t>Length</t>
  </si>
  <si>
    <t>BW102-03</t>
  </si>
  <si>
    <t>102mm Adjustable Gallery - 3 Blades - 310mm</t>
  </si>
  <si>
    <t>BW152-02</t>
  </si>
  <si>
    <t>152mm Adjustable Gallery - 2 Blades - 320mm</t>
  </si>
  <si>
    <t>BW-WE-3M</t>
  </si>
  <si>
    <t>Altair Weatherstrip Extrusion 3m</t>
  </si>
  <si>
    <t>BW102-04</t>
  </si>
  <si>
    <t>102mm Adjustable Gallery - 4 Blades - 400mm</t>
  </si>
  <si>
    <t>BW152-03</t>
  </si>
  <si>
    <t>152mm Adjustable Gallery - 3 Blades - 460mm</t>
  </si>
  <si>
    <t>BW-WI-3M</t>
  </si>
  <si>
    <t>Altair Weatherstrip Insert 3m</t>
  </si>
  <si>
    <t>BW102-05</t>
  </si>
  <si>
    <t>102mm Adjustable Gallery - 5 Blades - 490mm</t>
  </si>
  <si>
    <t>BW152-04</t>
  </si>
  <si>
    <t>152mm Adjustable Gallery - 4 Blades - 600mm</t>
  </si>
  <si>
    <t>BW-BC-2.9M</t>
  </si>
  <si>
    <t>Blade Carrier 2.9m</t>
  </si>
  <si>
    <t>BW102-06</t>
  </si>
  <si>
    <t>102mm Adjustable Gallery - 6 Blades - 580mm</t>
  </si>
  <si>
    <t>BW152-05</t>
  </si>
  <si>
    <t>152mm Adjustable Gallery - 5 Blades - 740mm</t>
  </si>
  <si>
    <t>BW-AB102-STD</t>
  </si>
  <si>
    <t>102mm Aluminium Blade 2.9m - NA/Black/White/MF</t>
  </si>
  <si>
    <t>BW102-07</t>
  </si>
  <si>
    <t>102mm Adjustable Gallery - 7 Blades - 670mm</t>
  </si>
  <si>
    <t>BW152-06</t>
  </si>
  <si>
    <t>152mm Adjustable Gallery - 6 Blades - 880mm</t>
  </si>
  <si>
    <t>BW-AB102-WG</t>
  </si>
  <si>
    <t>102mm Aluminium Blade 2.9m - Woodgrain</t>
  </si>
  <si>
    <t>BW102-08</t>
  </si>
  <si>
    <t>102mm Adjustable Gallery - 8 Blades - 760mm</t>
  </si>
  <si>
    <t>BW152-07</t>
  </si>
  <si>
    <t>152mm Adjustable Gallery - 7 Blades - 1020mm</t>
  </si>
  <si>
    <t>BW-AB152-STD</t>
  </si>
  <si>
    <t>152mm Aluminium Blade 2.9m - NA/Black/White/MF</t>
  </si>
  <si>
    <t>BW102-09</t>
  </si>
  <si>
    <t>102mm Adjustable Gallery - 9 Blades - 850mm</t>
  </si>
  <si>
    <t>BW152-08</t>
  </si>
  <si>
    <t>152mm Adjustable Gallery - 8 Blades - 1160mm</t>
  </si>
  <si>
    <t>BW-AB152-WG</t>
  </si>
  <si>
    <t>152mm Aluminium Blade 2.9m - Woodgrain</t>
  </si>
  <si>
    <t>BW102-10</t>
  </si>
  <si>
    <t>102mm Adjustable Gallery - 10 Blades - 940mm</t>
  </si>
  <si>
    <t>BW152-09</t>
  </si>
  <si>
    <t>152mm Adjustable Gallery - 9 Blades - 1300mm</t>
  </si>
  <si>
    <t>BW102-11</t>
  </si>
  <si>
    <t>102mm Adjustable Gallery - 11 Blades - 1030mm</t>
  </si>
  <si>
    <t>BW152-10</t>
  </si>
  <si>
    <t>152mm Adjustable Gallery - 10 Blades - 1440mm</t>
  </si>
  <si>
    <t>BW102-12</t>
  </si>
  <si>
    <t>102mm Adjustable Gallery - 12 Blades - 1120mm</t>
  </si>
  <si>
    <t>BW152-11</t>
  </si>
  <si>
    <t>152mm Adjustable Gallery - 11 Blades - 1580mm</t>
  </si>
  <si>
    <t>BW102-13</t>
  </si>
  <si>
    <t>102mm Adjustable Gallery - 13 Blades - 1210mm</t>
  </si>
  <si>
    <t>BW152-12</t>
  </si>
  <si>
    <t>152mm Adjustable Gallery - 12 Blades - 1720mm</t>
  </si>
  <si>
    <t>BW102-14</t>
  </si>
  <si>
    <t>102mm Adjustable Gallery - 14 Blades - 1300mm</t>
  </si>
  <si>
    <t>BW152-13</t>
  </si>
  <si>
    <t>152mm Adjustable Gallery - 13 Blades - 1860mm</t>
  </si>
  <si>
    <t>BW102-15</t>
  </si>
  <si>
    <t>102mm Adjustable Gallery - 15 Blades - 1390mm</t>
  </si>
  <si>
    <t>BW152-14</t>
  </si>
  <si>
    <t>152mm Adjustable Gallery - 14 Blades - 2000mm</t>
  </si>
  <si>
    <t>BW102-16</t>
  </si>
  <si>
    <t>102mm Adjustable Gallery - 16 Blades - 1480mm</t>
  </si>
  <si>
    <t>BW152-15</t>
  </si>
  <si>
    <t>152mm Adjustable Gallery - 15 Blades - 2140mm</t>
  </si>
  <si>
    <t>BW102-17</t>
  </si>
  <si>
    <t>102mm Adjustable Gallery - 17 Blades - 1570mm</t>
  </si>
  <si>
    <t>BW152-16</t>
  </si>
  <si>
    <t>152mm Adjustable Gallery - 16 Blades - 2280mm</t>
  </si>
  <si>
    <t>BW102-18</t>
  </si>
  <si>
    <t>102mm Adjustable Gallery - 18 Blades - 1660mm</t>
  </si>
  <si>
    <t>BW152-17</t>
  </si>
  <si>
    <t>152mm Adjustable Gallery - 17 Blades - 2420mm</t>
  </si>
  <si>
    <t>BW102-19</t>
  </si>
  <si>
    <t>102mm Adjustable Gallery - 19 Blades - 1750mm</t>
  </si>
  <si>
    <t>BW152-18</t>
  </si>
  <si>
    <t>152mm Adjustable Gallery - 18 Blades - 2560mm</t>
  </si>
  <si>
    <t>BW102-20</t>
  </si>
  <si>
    <t>102mm Adjustable Gallery - 20 Blades - 1840mm</t>
  </si>
  <si>
    <t>BW152-19</t>
  </si>
  <si>
    <t>152mm Adjustable Gallery - 19 Blades - 2700mm</t>
  </si>
  <si>
    <t>BW102-21</t>
  </si>
  <si>
    <t>102mm Adjustable Gallery - 21 Blades - 1930mm</t>
  </si>
  <si>
    <t>BW152-20</t>
  </si>
  <si>
    <t>152mm Adjustable Gallery - 20 Blades - 2840mm</t>
  </si>
  <si>
    <t>BW102-22</t>
  </si>
  <si>
    <t>102mm Adjustable Gallery - 22 Blades - 2020mm</t>
  </si>
  <si>
    <t>BW152-21</t>
  </si>
  <si>
    <t>152mm Adjustable Gallery - 21 Blades - 2980mm</t>
  </si>
  <si>
    <t>BW102-23</t>
  </si>
  <si>
    <t>102mm Adjustable Gallery - 23 Blades - 2110mm</t>
  </si>
  <si>
    <t>BW102-24</t>
  </si>
  <si>
    <t>102mm Adjustable Gallery - 24 Blades - 2200mm</t>
  </si>
  <si>
    <t>BW102-25</t>
  </si>
  <si>
    <t>102mm Adjustable Gallery - 25 Blades - 2290mm</t>
  </si>
  <si>
    <t>BW102-26</t>
  </si>
  <si>
    <t>102mm Adjustable Gallery - 26 Blades - 2380mm</t>
  </si>
  <si>
    <t>BW102-27</t>
  </si>
  <si>
    <t>102mm Adjustable Gallery - 27 Blades - 2470mm</t>
  </si>
  <si>
    <t>BW102-28</t>
  </si>
  <si>
    <t>102mm Adjustable Gallery - 28 Blades - 2560mm</t>
  </si>
  <si>
    <t>BW102-29</t>
  </si>
  <si>
    <t>102mm Adjustable Gallery - 29 Blades - 2650mm</t>
  </si>
  <si>
    <t>BW102-30</t>
  </si>
  <si>
    <t>102mm Adjustable Gallery - 30 Blades - 2740mm</t>
  </si>
  <si>
    <t>BW102-31</t>
  </si>
  <si>
    <t>102mm Adjustable Gallery - 31 Blades - 2830mm</t>
  </si>
  <si>
    <t>BW102-32</t>
  </si>
  <si>
    <t>102mm Adjustable Gallery - 32 Blades - 2920mm</t>
  </si>
  <si>
    <t>BW102-33</t>
  </si>
  <si>
    <t>102mm Adjustable Gallery - 33 Blades - 3010mm</t>
  </si>
  <si>
    <t>Breezway 102mm Glass Infill</t>
  </si>
  <si>
    <t>Breezway 102mm NA / WH / BK / MF</t>
  </si>
  <si>
    <t>Breezway 102mm WG</t>
  </si>
  <si>
    <t>Breezway 152mm Glass Infill</t>
  </si>
  <si>
    <t>Breezway 152mm NA / WH / BK / MF</t>
  </si>
  <si>
    <t>Breezway 152mm WG</t>
  </si>
  <si>
    <t>Blade Count</t>
  </si>
  <si>
    <t>Height mm</t>
  </si>
  <si>
    <t>1 Bay Standard &lt;=982mm</t>
  </si>
  <si>
    <t>1 Bay Off Standard &lt;=982mm</t>
  </si>
  <si>
    <t>2 Bay Standard &lt;=1959mm</t>
  </si>
  <si>
    <t>2 Bay Off Standard &lt;=1959mm</t>
  </si>
  <si>
    <t>3 Bay Standard &lt;=2936mm</t>
  </si>
  <si>
    <t>3 Bay Off Standard &lt;=2936mm</t>
  </si>
  <si>
    <t>4 Bay Standard &lt;=3913mm</t>
  </si>
  <si>
    <t>4 Bay Off Standard &lt;=3913mm</t>
  </si>
  <si>
    <t>Alu. Glass Premium Series</t>
  </si>
  <si>
    <t>Alu. Glass Standard</t>
  </si>
  <si>
    <t>Alu. Glass Performance</t>
  </si>
  <si>
    <t xml:space="preserve">895mmW X 2300mmH  Alu. Glass Standard 2 Panel Supply &amp; Install SF 3" CTW / SF Partition / Z-Louvre P/C 6mm Clear Tempered Glass Panel Breezway 152mm Glass Infill      </t>
  </si>
  <si>
    <t xml:space="preserve">2345mmW X 2300mmH  Alu. Glass Standard 4 Panel Supply &amp; Install SF 3" CTW / SF Partition / Z-Louvre P/C 6mm Clear Tempered Glass Panel Breezway 152mm Glass Infill      </t>
  </si>
  <si>
    <t xml:space="preserve">2390mmW X 2300mmH  Alu. Glass Standard 4 Panel Supply &amp; Install SF 3" CTW / SF Partition / Z-Louvre P/C 6mm Clear Tempered Glass Panel Breezway 152mm Glass Infill      </t>
  </si>
  <si>
    <t xml:space="preserve">450mmW X 2700mmH  Alu. Glass Standard 1 Panel Supply &amp; Install SF 3" CTW / SF Partition / Z-Louvre P/C 6mm Clear Tempered Glass Panel Breezway 152mm Glass Infill      </t>
  </si>
  <si>
    <t xml:space="preserve">500mmW X 2100mmH  Alu. Glass Standard 1 Panel Supply &amp; Install SF 3" CTW / SF Partition / Z-Louvre P/C 6mm Clear Tempered Glass Panel Breezway 152mm Glass Infill      </t>
  </si>
  <si>
    <t xml:space="preserve">1900mmW X 500mmH  Alu. Glass Standard 4 Panel Supply &amp; Install SF 3" CTW / SF Partition / Z-Louvre P/C 6mm Clear Tempered Glass Panel Breezway 152mm Glass Infill      </t>
  </si>
  <si>
    <t>DEF</t>
  </si>
  <si>
    <t>Easysceen D-Bar Standard</t>
  </si>
  <si>
    <t>Easysceen D-Bar Off Standard</t>
  </si>
  <si>
    <t>NA/Black/White/MF</t>
  </si>
  <si>
    <t>mesh</t>
  </si>
  <si>
    <t>Security Door Insert</t>
  </si>
  <si>
    <t>Outer Frame</t>
  </si>
  <si>
    <t>Inner Mesh</t>
  </si>
  <si>
    <t>Beading Mesh</t>
  </si>
  <si>
    <t>Inner Panel</t>
  </si>
  <si>
    <t>TECA Friction Hinge R/L 4"</t>
  </si>
  <si>
    <t>JIEDO SUS304 14" 4 Bar</t>
  </si>
  <si>
    <t>14" JIEDO SUS304 Ultra Heavy Duty Square Groove Stay (SS) Width 27mm Thickness 2.5mm - 4 Bar</t>
  </si>
  <si>
    <t>SLH-1350MP</t>
  </si>
  <si>
    <t>SLH-1350MP Multipoint Transmission Lock Solid Handle (Black)</t>
  </si>
  <si>
    <t>T011</t>
  </si>
  <si>
    <t>T011 Transmission Lockcase With Push Rod (20mm)</t>
  </si>
  <si>
    <t>CD7770</t>
  </si>
  <si>
    <t>CD7770 Canter Multi-Point Handle (Black)</t>
  </si>
  <si>
    <t>TC-66</t>
  </si>
  <si>
    <t>TC-66 Lock Cam (12mm)</t>
  </si>
  <si>
    <t>MKP-034s</t>
  </si>
  <si>
    <t>MKP-034s Multipoint Keeper (11mm) - Small</t>
  </si>
  <si>
    <t>MP-19640</t>
  </si>
  <si>
    <t>MP-19640 Corner Bracket 19.6mm x 40mm x 14mm</t>
  </si>
  <si>
    <t>MP-26550</t>
  </si>
  <si>
    <t>MP-26550 Corner Bracket 26.5mm x 50mm x 4.0mm</t>
  </si>
  <si>
    <t>Outer Gasket 6980</t>
  </si>
  <si>
    <t>Inner Gasket 2474</t>
  </si>
  <si>
    <t>Mesh</t>
  </si>
  <si>
    <t>Security Door Insert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</si>
</sst>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&quot;RM&quot;\ #,##0.00"/>
    <numFmt numFmtId="170" formatCode="0.000"/>
    <numFmt numFmtId="171" formatCode="#,##0.000"/>
    <numFmt numFmtId="172" formatCode="0.0%"/>
    <numFmt numFmtId="173" formatCode="#,##0.00000000"/>
    <numFmt numFmtId="174" formatCode="0.0000%"/>
    <numFmt numFmtId="175" formatCode="#,##0.0000000000000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7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69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69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69" fontId="14" fillId="15" borderId="14" xfId="0" applyNumberFormat="1" applyFont="1" applyFill="1" applyBorder="1"/>
    <xf numFmtId="170" fontId="0" fillId="0" borderId="0" xfId="0" applyNumberFormat="1"/>
    <xf numFmtId="170" fontId="14" fillId="15" borderId="14" xfId="0" applyNumberFormat="1" applyFont="1" applyFill="1" applyBorder="1" applyAlignment="1">
      <alignment horizontal="center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69" fontId="0" fillId="14" borderId="21" xfId="0" applyNumberFormat="1" applyFill="1" applyBorder="1" applyAlignment="1">
      <alignment horizontal="right" vertical="center" wrapText="1"/>
    </xf>
    <xf numFmtId="169" fontId="0" fillId="14" borderId="22" xfId="0" applyNumberFormat="1" applyFill="1" applyBorder="1" applyAlignment="1">
      <alignment horizontal="right" vertical="center" wrapText="1"/>
    </xf>
    <xf numFmtId="169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0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0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0" fontId="18" fillId="16" borderId="8" xfId="0" applyNumberFormat="1" applyFont="1" applyFill="1" applyBorder="1" applyAlignment="1">
      <alignment horizontal="right" vertical="center"/>
    </xf>
    <xf numFmtId="170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3" fontId="0" fillId="16" borderId="1" xfId="0" applyNumberFormat="1" applyFill="1" applyBorder="1" applyAlignment="1">
      <alignment horizontal="right" vertical="center"/>
    </xf>
    <xf numFmtId="173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0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0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0" fontId="0" fillId="7" borderId="0" xfId="0" applyNumberFormat="1" applyFill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4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49" fontId="0" fillId="2" borderId="0" xfId="0" applyNumberFormat="1" applyFill="1" applyAlignment="1">
      <alignment horizontal="center" vertical="center"/>
    </xf>
    <xf numFmtId="175" fontId="0" fillId="0" borderId="0" xfId="0" applyNumberFormat="1" applyAlignment="1">
      <alignment horizontal="center"/>
    </xf>
    <xf numFmtId="10" fontId="0" fillId="2" borderId="7" xfId="0" applyNumberFormat="1" applyFill="1" applyBorder="1" applyAlignment="1" applyProtection="1">
      <alignment horizontal="right" wrapText="1"/>
      <protection locked="0"/>
    </xf>
    <xf numFmtId="10" fontId="0" fillId="0" borderId="0" xfId="0" applyNumberFormat="1" applyAlignment="1">
      <alignment horizontal="center" vertical="center"/>
    </xf>
    <xf numFmtId="4" fontId="0" fillId="0" borderId="5" xfId="0" applyNumberFormat="1" applyBorder="1" applyAlignment="1">
      <alignment vertical="center"/>
    </xf>
    <xf numFmtId="4" fontId="0" fillId="0" borderId="7" xfId="0" applyNumberFormat="1" applyBorder="1" applyAlignment="1">
      <alignment vertical="center"/>
    </xf>
    <xf numFmtId="4" fontId="0" fillId="0" borderId="3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2" borderId="0" xfId="0" applyFill="1" applyAlignment="1">
      <alignment vertical="center"/>
    </xf>
    <xf numFmtId="4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6" fillId="0" borderId="0" xfId="0" applyFont="1"/>
    <xf numFmtId="4" fontId="0" fillId="0" borderId="0" xfId="0" applyNumberFormat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D11" sqref="D11:I12"/>
    </sheetView>
  </sheetViews>
  <sheetFormatPr defaultRowHeight="15"/>
  <cols>
    <col min="1" max="1" width="37.28515625" style="8" bestFit="1" customWidth="1"/>
    <col min="2" max="2" width="20.7109375" style="6" customWidth="1"/>
    <col min="3" max="3" width="1.7109375" customWidth="1"/>
    <col min="4" max="4" width="102.2851562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00.710937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>
      <c r="A1" s="86" t="s">
        <v>2444</v>
      </c>
      <c r="B1" s="3"/>
      <c r="J1" s="139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5"/>
      <c r="L2" s="122" t="str">
        <f>B3&amp;A2&amp;"W X "&amp;B4&amp;A2&amp;"H  "&amp;A1&amp;" "&amp;B13&amp;" Panel "&amp;A17&amp;" "&amp;B18&amp;" "&amp;A18&amp;" "&amp;A19&amp;" "&amp;A20&amp;" "&amp;A21&amp;" "&amp;A22&amp;" "&amp;A23&amp;" "&amp;A24&amp;" "&amp;A25&amp;" "&amp;A26&amp;" "&amp;A27</f>
        <v xml:space="preserve">8ftW X 8ftH  Alu. Glass Performance 4 Panel Supply &amp; Install  Folding Door Exposed P/C Default Breezway 102mm Glass Infill      </v>
      </c>
      <c r="M2" s="123" t="str">
        <f>IF(A11="","",A11)</f>
        <v>Set</v>
      </c>
      <c r="N2" s="123">
        <f>IF(B11="","",B11)</f>
        <v>1</v>
      </c>
      <c r="O2" s="124">
        <f>IF(B37="","",B37)</f>
        <v>15238.513320842407</v>
      </c>
      <c r="P2" s="124">
        <f>IF(OR(NOT(ISNUMBER(N2)),NOT(ISNUMBER(O2))),"",N2*O2)</f>
        <v>15238.513320842407</v>
      </c>
      <c r="Q2" s="34"/>
      <c r="AC2" s="81"/>
    </row>
    <row r="3" spans="1:30">
      <c r="A3" s="46" t="s">
        <v>79</v>
      </c>
      <c r="B3" s="27">
        <v>8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6</v>
      </c>
      <c r="O3" s="128" t="s">
        <v>437</v>
      </c>
      <c r="P3" s="35">
        <f>IF(SUM(P5:P24)=0,"",SUM(P5:P24))</f>
        <v>28282.391998881496</v>
      </c>
    </row>
    <row r="4" spans="1:30">
      <c r="A4" s="51" t="s">
        <v>80</v>
      </c>
      <c r="B4" s="28">
        <v>8</v>
      </c>
      <c r="C4" s="1"/>
      <c r="D4" t="str" cm="1">
        <f t="array" ref="D4">IFERROR(INDEX(CalcEngine!R:R,SMALL(CalcEngine!P:P,ROW()-3)),"")</f>
        <v>Outer Top</v>
      </c>
      <c r="E4" s="25"/>
      <c r="F4" s="52" cm="1">
        <f t="array" ref="F4">IF(D4="","",MAX(0,IFERROR(INDEX(CalcEngine!V:V,SMALL(CalcEngine!P:P,ROW()-3)),0)+N(E4)))</f>
        <v>8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14.99</v>
      </c>
      <c r="I4" s="5">
        <f>IF(AND(ISNUMBER(F4), ISNUMBER(H4)), F4*H4, "")</f>
        <v>119.92</v>
      </c>
      <c r="K4" s="192" t="s">
        <v>175</v>
      </c>
      <c r="L4" s="193" t="s">
        <v>797</v>
      </c>
      <c r="M4" s="193" t="s">
        <v>102</v>
      </c>
      <c r="N4" s="193" t="s">
        <v>98</v>
      </c>
      <c r="O4" s="194" t="s">
        <v>430</v>
      </c>
      <c r="P4" s="193" t="s">
        <v>78</v>
      </c>
    </row>
    <row r="5" spans="1:30">
      <c r="A5" s="53" t="s">
        <v>99</v>
      </c>
      <c r="B5" s="29"/>
      <c r="C5" s="1"/>
      <c r="D5" t="str" cm="1">
        <f t="array" ref="D5">IFERROR(INDEX(CalcEngine!R:R,SMALL(CalcEngine!P:P,ROW()-3)),"")</f>
        <v>Outer Stand</v>
      </c>
      <c r="E5" s="25"/>
      <c r="F5" s="52" cm="1">
        <f t="array" ref="F5">IF(D5="","",MAX(0,IFERROR(INDEX(CalcEngine!V:V,SMALL(CalcEngine!P:P,ROW()-3)),0)+N(E5)))</f>
        <v>16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7.96</v>
      </c>
      <c r="I5" s="5">
        <f t="shared" ref="I5:I30" si="0">IF(AND(ISNUMBER(F5), ISNUMBER(H5)), F5*H5, "")</f>
        <v>127.36</v>
      </c>
      <c r="K5" s="183">
        <v>1</v>
      </c>
      <c r="L5" s="184" t="s">
        <v>2445</v>
      </c>
      <c r="M5" s="32" t="s">
        <v>176</v>
      </c>
      <c r="N5" s="32">
        <v>1</v>
      </c>
      <c r="O5" s="185">
        <v>4207.7011920130199</v>
      </c>
      <c r="P5" s="186">
        <f>IF(OR(NOT(ISNUMBER(N5)),NOT(ISNUMBER(O5))),"",N5*O5)</f>
        <v>4207.7011920130199</v>
      </c>
    </row>
    <row r="6" spans="1:30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8</v>
      </c>
      <c r="C6" s="1"/>
      <c r="D6" t="str" cm="1">
        <f t="array" ref="D6">IFERROR(INDEX(CalcEngine!R:R,SMALL(CalcEngine!P:P,ROW()-3)),"")</f>
        <v>Bottom U Box</v>
      </c>
      <c r="E6" s="25"/>
      <c r="F6" s="52" cm="1">
        <f t="array" ref="F6">IF(D6="","",MAX(0,IFERROR(INDEX(CalcEngine!V:V,SMALL(CalcEngine!P:P,ROW()-3)),0)+N(E6)))</f>
        <v>8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6.4</v>
      </c>
      <c r="I6" s="5">
        <f t="shared" si="0"/>
        <v>51.2</v>
      </c>
      <c r="K6" s="183">
        <v>2</v>
      </c>
      <c r="L6" s="184" t="s">
        <v>2446</v>
      </c>
      <c r="M6" s="32" t="s">
        <v>176</v>
      </c>
      <c r="N6" s="32">
        <v>1</v>
      </c>
      <c r="O6" s="185">
        <v>7971.4337113589663</v>
      </c>
      <c r="P6" s="186">
        <f t="shared" ref="P6:P24" si="1">IF(OR(NOT(ISNUMBER(N6)),NOT(ISNUMBER(O6))),"",N6*O6)</f>
        <v>7971.4337113589663</v>
      </c>
    </row>
    <row r="7" spans="1:30">
      <c r="A7" s="56" t="s">
        <v>81</v>
      </c>
      <c r="B7" s="57">
        <f>IF(B4="", "",
   IF($A$2="mm", B4/304.8,
   IF($A$2="cm", B4/30.48,
   IF($A$2="m",  B4*3.28084,
   IF($A$2="in", B4/12,
   IF($A$2="ft", B4,
   "Invalid Unit"))))))</f>
        <v>8</v>
      </c>
      <c r="C7" s="1"/>
      <c r="D7" t="str" cm="1">
        <f t="array" ref="D7">IFERROR(INDEX(CalcEngine!R:R,SMALL(CalcEngine!P:P,ROW()-3)),"")</f>
        <v>Inner Beading</v>
      </c>
      <c r="E7" s="25"/>
      <c r="F7" s="52" cm="1">
        <f t="array" ref="F7">IF(D7="","",MAX(0,IFERROR(INDEX(CalcEngine!V:V,SMALL(CalcEngine!P:P,ROW()-3)),0)+N(E7)))</f>
        <v>80</v>
      </c>
      <c r="G7" s="2" t="str" cm="1">
        <f t="array" ref="G7">IFERROR(INDEX(CalcEngine!U:U,SMALL(CalcEngine!P:P,ROW()-3)),"")</f>
        <v>Ft</v>
      </c>
      <c r="H7" s="5" cm="1">
        <f t="array" ref="H7">IFERROR(INDEX(CalcEngine!W:W,SMALL(CalcEngine!P:P,ROW()-3)),"")</f>
        <v>1.29</v>
      </c>
      <c r="I7" s="5">
        <f t="shared" si="0"/>
        <v>103.2</v>
      </c>
      <c r="K7" s="183">
        <v>3</v>
      </c>
      <c r="L7" s="184" t="s">
        <v>2447</v>
      </c>
      <c r="M7" s="32" t="s">
        <v>176</v>
      </c>
      <c r="N7" s="32">
        <v>1</v>
      </c>
      <c r="O7" s="185">
        <v>7986.3367428696038</v>
      </c>
      <c r="P7" s="186">
        <f t="shared" si="1"/>
        <v>7986.3367428696038</v>
      </c>
    </row>
    <row r="8" spans="1:30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Inner</v>
      </c>
      <c r="E8" s="25"/>
      <c r="F8" s="52" cm="1">
        <f t="array" ref="F8">IF(D8="","",MAX(0,IFERROR(INDEX(CalcEngine!V:V,SMALL(CalcEngine!P:P,ROW()-3)),0)+N(E8)))</f>
        <v>80</v>
      </c>
      <c r="G8" s="2" t="str" cm="1">
        <f t="array" ref="G8">IFERROR(INDEX(CalcEngine!U:U,SMALL(CalcEngine!P:P,ROW()-3)),"")</f>
        <v>Ft</v>
      </c>
      <c r="H8" s="5" cm="1">
        <f t="array" ref="H8">IFERROR(INDEX(CalcEngine!W:W,SMALL(CalcEngine!P:P,ROW()-3)),"")</f>
        <v>10.11</v>
      </c>
      <c r="I8" s="5">
        <f t="shared" si="0"/>
        <v>808.8</v>
      </c>
      <c r="K8" s="183">
        <v>4</v>
      </c>
      <c r="L8" s="184" t="s">
        <v>2448</v>
      </c>
      <c r="M8" s="32" t="s">
        <v>176</v>
      </c>
      <c r="N8" s="32">
        <v>1</v>
      </c>
      <c r="O8" s="185">
        <v>2948.2962528368539</v>
      </c>
      <c r="P8" s="186">
        <f t="shared" si="1"/>
        <v>2948.2962528368539</v>
      </c>
    </row>
    <row r="9" spans="1:30">
      <c r="A9" s="56" t="s">
        <v>4</v>
      </c>
      <c r="B9" s="58">
        <f>IF(OR(B6="",B7=""),"",
  B6 * B7
)</f>
        <v>64</v>
      </c>
      <c r="C9" s="1"/>
      <c r="D9" t="str" cm="1">
        <f t="array" ref="D9">IFERROR(INDEX(CalcEngine!R:R,SMALL(CalcEngine!P:P,ROW()-3)),"")</f>
        <v>Centre Clip</v>
      </c>
      <c r="E9" s="25"/>
      <c r="F9" s="52" cm="1">
        <f t="array" ref="F9">IF(D9="","",MAX(0,IFERROR(INDEX(CalcEngine!V:V,SMALL(CalcEngine!P:P,ROW()-3)),0)+N(E9)))</f>
        <v>16</v>
      </c>
      <c r="G9" s="2" t="str" cm="1">
        <f t="array" ref="G9">IFERROR(INDEX(CalcEngine!U:U,SMALL(CalcEngine!P:P,ROW()-3)),"")</f>
        <v>Ft</v>
      </c>
      <c r="H9" s="5" cm="1">
        <f t="array" ref="H9">IFERROR(INDEX(CalcEngine!W:W,SMALL(CalcEngine!P:P,ROW()-3)),"")</f>
        <v>3.31</v>
      </c>
      <c r="I9" s="5">
        <f t="shared" si="0"/>
        <v>52.96</v>
      </c>
      <c r="K9" s="183">
        <v>5</v>
      </c>
      <c r="L9" s="184" t="s">
        <v>2449</v>
      </c>
      <c r="M9" s="32" t="s">
        <v>176</v>
      </c>
      <c r="N9" s="32">
        <v>1</v>
      </c>
      <c r="O9" s="185">
        <v>2398.2536482693704</v>
      </c>
      <c r="P9" s="186">
        <f t="shared" si="1"/>
        <v>2398.2536482693704</v>
      </c>
    </row>
    <row r="10" spans="1:30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Lock Bar</v>
      </c>
      <c r="E10" s="25"/>
      <c r="F10" s="52" cm="1">
        <f t="array" ref="F10">IF(D10="","",MAX(0,IFERROR(INDEX(CalcEngine!V:V,SMALL(CalcEngine!P:P,ROW()-3)),0)+N(E10)))</f>
        <v>32</v>
      </c>
      <c r="G10" s="2" t="str" cm="1">
        <f t="array" ref="G10">IFERROR(INDEX(CalcEngine!U:U,SMALL(CalcEngine!P:P,ROW()-3)),"")</f>
        <v>Ft</v>
      </c>
      <c r="H10" s="5" cm="1">
        <f t="array" ref="H10">IFERROR(INDEX(CalcEngine!W:W,SMALL(CalcEngine!P:P,ROW()-3)),"")</f>
        <v>1.19</v>
      </c>
      <c r="I10" s="5">
        <f t="shared" si="0"/>
        <v>38.08</v>
      </c>
      <c r="K10" s="183">
        <v>6</v>
      </c>
      <c r="L10" s="184" t="s">
        <v>2450</v>
      </c>
      <c r="M10" s="32" t="s">
        <v>176</v>
      </c>
      <c r="N10" s="32">
        <v>1</v>
      </c>
      <c r="O10" s="185">
        <v>2770.3704515336808</v>
      </c>
      <c r="P10" s="186">
        <f t="shared" si="1"/>
        <v>2770.3704515336808</v>
      </c>
    </row>
    <row r="11" spans="1:30">
      <c r="A11" s="197" t="str">
        <f>IF(LEN(TRIM(B12))&gt;0,"Set","Tonne")</f>
        <v>Set</v>
      </c>
      <c r="B11" s="196">
        <f>IF(LEN(TRIM(B12))&gt;0,B12,F4)</f>
        <v>1</v>
      </c>
      <c r="C11" s="1"/>
      <c r="D11" t="str" cm="1">
        <f t="array" ref="D11">IFERROR(INDEX(CalcEngine!R:R,SMALL(CalcEngine!P:P,ROW()-3)),"")</f>
        <v>Breezway 102mm Glass Infill</v>
      </c>
      <c r="E11" s="25"/>
      <c r="F11" s="52" cm="1">
        <f t="array" ref="F11">IF(D11="","",MAX(0,IFERROR(INDEX(CalcEngine!V:V,SMALL(CalcEngine!P:P,ROW()-3)),0)+N(E11)))</f>
        <v>1</v>
      </c>
      <c r="G11" s="2" t="str" cm="1">
        <f t="array" ref="G11">IFERROR(INDEX(CalcEngine!U:U,SMALL(CalcEngine!P:P,ROW()-3)),"")</f>
        <v>Set</v>
      </c>
      <c r="H11" s="5" cm="1">
        <f t="array" ref="H11">IFERROR(INDEX(CalcEngine!W:W,SMALL(CalcEngine!P:P,ROW()-3)),"")</f>
        <v>3017.0880000000002</v>
      </c>
      <c r="I11" s="5">
        <f t="shared" si="0"/>
        <v>3017.0880000000002</v>
      </c>
      <c r="K11" s="183"/>
      <c r="L11" s="184"/>
      <c r="M11" s="32"/>
      <c r="N11" s="32"/>
      <c r="O11" s="185"/>
      <c r="P11" s="186" t="str">
        <f t="shared" si="1"/>
        <v/>
      </c>
    </row>
    <row r="12" spans="1:30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>Breezway 102mm Glass Infill</v>
      </c>
      <c r="E12" s="25"/>
      <c r="F12" s="52" cm="1">
        <f t="array" ref="F12">IF(D12="","",MAX(0,IFERROR(INDEX(CalcEngine!V:V,SMALL(CalcEngine!P:P,ROW()-3)),0)+N(E12)))</f>
        <v>1</v>
      </c>
      <c r="G12" s="2" t="str" cm="1">
        <f t="array" ref="G12">IFERROR(INDEX(CalcEngine!U:U,SMALL(CalcEngine!P:P,ROW()-3)),"")</f>
        <v>Set</v>
      </c>
      <c r="H12" s="5" cm="1">
        <f t="array" ref="H12">IFERROR(INDEX(CalcEngine!W:W,SMALL(CalcEngine!P:P,ROW()-3)),"")</f>
        <v>3017.0880000000002</v>
      </c>
      <c r="I12" s="5">
        <f t="shared" si="0"/>
        <v>3017.0880000000002</v>
      </c>
      <c r="K12" s="183"/>
      <c r="L12" s="184"/>
      <c r="M12" s="32"/>
      <c r="N12" s="32"/>
      <c r="O12" s="185"/>
      <c r="P12" s="186" t="str">
        <f t="shared" si="1"/>
        <v/>
      </c>
    </row>
    <row r="13" spans="1:30">
      <c r="A13" s="61" t="s">
        <v>5</v>
      </c>
      <c r="B13" s="63">
        <f>IF(B14&lt;&gt;"", B14, IFERROR(ROUNDUP(B6*304.8/B15,0),""))</f>
        <v>4</v>
      </c>
      <c r="C13" s="1"/>
      <c r="D13" t="str" cm="1">
        <f t="array" ref="D13">IFERROR(INDEX(CalcEngine!R:R,SMALL(CalcEngine!P:P,ROW()-3)),"")</f>
        <v>MSW-8112 TC78 Matt Black Latch Bolt</v>
      </c>
      <c r="E13" s="25"/>
      <c r="F13" s="52" cm="1">
        <f t="array" ref="F13">IF(D13="","",MAX(0,IFERROR(INDEX(CalcEngine!V:V,SMALL(CalcEngine!P:P,ROW()-3)),0)+N(E13)))</f>
        <v>4</v>
      </c>
      <c r="G13" s="2" t="str" cm="1">
        <f t="array" ref="G13">IFERROR(INDEX(CalcEngine!U:U,SMALL(CalcEngine!P:P,ROW()-3)),"")</f>
        <v>Pair</v>
      </c>
      <c r="H13" s="5" cm="1">
        <f t="array" ref="H13">IFERROR(INDEX(CalcEngine!W:W,SMALL(CalcEngine!P:P,ROW()-3)),"")</f>
        <v>12</v>
      </c>
      <c r="I13" s="5">
        <f t="shared" si="0"/>
        <v>48</v>
      </c>
      <c r="K13" s="183"/>
      <c r="L13" s="184"/>
      <c r="M13" s="32"/>
      <c r="N13" s="32"/>
      <c r="O13" s="185"/>
      <c r="P13" s="186" t="str">
        <f t="shared" si="1"/>
        <v/>
      </c>
    </row>
    <row r="14" spans="1:30">
      <c r="A14" s="64" t="s">
        <v>963</v>
      </c>
      <c r="B14" s="29"/>
      <c r="C14" s="1"/>
      <c r="D14" t="str" cm="1">
        <f t="array" ref="D14">IFERROR(INDEX(CalcEngine!R:R,SMALL(CalcEngine!P:P,ROW()-3)),"")</f>
        <v>84TR Top Roller 4 Nylon Wheels Black</v>
      </c>
      <c r="E14" s="25"/>
      <c r="F14" s="52" cm="1">
        <f t="array" ref="F14">IF(D14="","",MAX(0,IFERROR(INDEX(CalcEngine!V:V,SMALL(CalcEngine!P:P,ROW()-3)),0)+N(E14)))</f>
        <v>2</v>
      </c>
      <c r="G14" s="2" t="str" cm="1">
        <f t="array" ref="G14">IFERROR(INDEX(CalcEngine!U:U,SMALL(CalcEngine!P:P,ROW()-3)),"")</f>
        <v>Pcs</v>
      </c>
      <c r="H14" s="5" cm="1">
        <f t="array" ref="H14">IFERROR(INDEX(CalcEngine!W:W,SMALL(CalcEngine!P:P,ROW()-3)),"")</f>
        <v>55</v>
      </c>
      <c r="I14" s="5">
        <f t="shared" si="0"/>
        <v>110</v>
      </c>
      <c r="J14" s="1" t="str">
        <f>CalcEngine!V2</f>
        <v/>
      </c>
      <c r="K14" s="183"/>
      <c r="L14" s="184"/>
      <c r="M14" s="32"/>
      <c r="N14" s="32"/>
      <c r="O14" s="185"/>
      <c r="P14" s="186" t="str">
        <f t="shared" si="1"/>
        <v/>
      </c>
    </row>
    <row r="15" spans="1:30">
      <c r="A15" s="65" t="s">
        <v>1396</v>
      </c>
      <c r="B15" s="66" cm="1">
        <f t="array" ref="B15">IF(B16&lt;&gt;"",B16,IF(Enginuity!$A$17="","",IF(UPPER(TRIM(SUBSTITUTE(Enginuity!$A$1,CHAR(160)," ")))="VITALLY",IFERROR(_xlfn.LET(_xlpm.selType,TRIM(SUBSTITUTE(Enginuity!$A$18,CHAR(160)," ")),_xlpm.scanRows,ROW(CalcEngine!$A$61:$A$4970),_xlpm.hitRows,_xlfn._xlws.FILTER(_xlpm.scanRows,(UPPER(TRIM(SUBSTITUTE(CalcEngine!$A$61:$A$4970,CHAR(160)," ")))="VITALLY")*(TRIM(SUBSTITUTE(CalcEngine!$C$61:$C$4970,CHAR(160)," "))=_xlpm.selType)),_xlpm.blockTops,_xlfn.UNIQUE(61+30*INT((_xlpm.hitRows-61)/30)),_xlpm.blockTop,INDEX(_xlfn._xlws.FILTER(_xlpm.blockTops,TRIM(SUBSTITUTE(INDEX(CalcEngine!$F:$F,_xlpm.blockTops),CHAR(160)," "))="▼ [Product Subtype]"),1),INDEX(CalcEngine!$N:$N,_xlpm.blockTop)),""),_xlfn.LET(_xlpm.r,ROW(CalcEngine!$A$2:$A$4819),_xlpm.grp,UPPER(TRIM(Enginuity!$A$1)),_xlpm.svc,UPPER(TRIM(Enginuity!$A$17)),_xlpm.prd,UPPER(TRIM(Enginuity!$A$18)),_xlpm.subSel,TRIM(Enginuity!$B$18),_xlpm.a21Sel,UPPER(TRIM(Enginuity!$A$21)),_xlpm.subOk,AND(_xlpm.subSel&lt;&gt;"",IFERROR(COUNTIF(EBB_List,_xlpm.subSel),0)&gt;0),_xlpm.srcA,UPPER(TRIM(CalcEngine!$A$2:$A$4819)),_xlpm.srcB,UPPER(TRIM(CalcEngine!$B$2:$B$4819)),_xlpm.srcC,UPPER(TRIM(CalcEngine!$C$2:$C$4819)),_xlpm.srcD,UPPER(TRIM(CalcEngine!$D$2:$D$4819)),_xlpm.srcF,UPPER(TRIM(CalcEngine!$F$2:$F$4819)),_xlpm.srcN,CalcEngine!$N$2:$N$4819,_xlpm.srcO,UPPER(TRIM(CalcEngine!$O$2:$O$4819)),_xlpm.legacyHitRow,IFERROR(_xlfn.XLOOKUP(1,(_xlpm.srcA=_xlpm.grp)*(_xlpm.srcC=_xlpm.prd)*(_xlpm.srcB="INSTALL ONLY")*(_xlpm.srcD="N/A"),_xlpm.r,""),""),_xlpm.candidateRows,IFERROR(_xlfn._xlws.FILTER(_xlpm.r,(_xlpm.srcA=_xlpm.grp)*(_xlpm.srcC=_xlpm.prd)),""),_xlpm.candidateTops,IFERROR(_xlfn.UNIQUE(61+30*INT((_xlpm.candidateRows-61)/30)),""),_xlpm.subtypeTop,IFERROR(INDEX(_xlfn._xlws.FILTER(_xlpm.candidateTops,UPPER(TRIM(SUBSTITUTE(INDEX(CalcEngine!$F:$F,_xlpm.candidateTops),CHAR(160)," ")))="▼ [PRODUCT SUBTYPE]"),1),""),_xlpm.hitRow,IF(_xlpm.legacyHitRow&lt;&gt;"",_xlpm.legacyHitRow,_xlpm.subtypeTop),_xlpm.blkTop,IF(_xlpm.hitRow="","",61+30*INT((_xlpm.hitRow-61)/30)),_xlpm.blkF,IF(_xlpm.blkTop="","",UPPER(TRIM(INDEX(CalcEngine!$F:$F,_xlfn.SEQUENCE(30,,_xlpm.blkTop))))),_xlpm.blkN,IF(_xlpm.blkTop="","",INDEX(CalcEngine!$N:$N,_xlfn.SEQUENCE(30,,_xlpm.blkTop))),_xlpm.blkO,IF(_xlpm.blkTop="","",UPPER(TRIM(INDEX(CalcEngine!$O:$O,_xlfn.SEQUENCE(30,,_xlpm.blkTop))))),_xlpm.subPos,IF(OR(_xlpm.blkTop="",NOT(_xlpm.subOk)),"",IFERROR(_xlfn.XMATCH(UPPER(TRIM(_xlpm.subSel)),_xlpm.blkF,0),"")),_xlpm.a21Pos,IF(OR(_xlpm.blkTop="",_xlpm.a21Sel=""),"",IFERROR(_xlfn.XMATCH(_xlpm.a21Sel,_xlpm.blkF,0),"")),_xlpm.defPos,IF(_xlpm.blkTop="","",IFERROR(_xlfn.XMATCH("DEF",_xlpm.blkO,0),"")),_xlpm.subVal,IF(_xlpm.subPos="","",INDEX(_xlpm.blkN,_xlpm.subPos)),_xlpm.a21Val,IF(_xlpm.a21Pos="","",INDEX(_xlpm.blkN,_xlpm.a21Pos)),_xlpm.defVal,IF(_xlpm.defPos="","",INDEX(_xlpm.blkN,_xlpm.defPos)),_xlpm.hitVal,IF(_xlpm.hitRow="","",INDEX(CalcEngine!$N:$N,_xlpm.hitRow)),_xlpm.rOld,IFERROR(_xlfn.XLOOKUP(1,(_xlpm.srcA=_xlpm.grp)*(_xlpm.srcB=_xlpm.svc)*(_xlpm.srcN&lt;&gt;""),_xlpm.srcN,""),""),IF(_xlpm.subVal&lt;&gt;"",_xlpm.subVal,IF(_xlpm.a21Val&lt;&gt;"",_xlpm.a21Val,IF(_xlpm.defVal&lt;&gt;"",_xlpm.defVal,IF(_xlpm.hitVal&lt;&gt;"",_xlpm.hitVal,_xlpm.rOld))))))))</f>
        <v>762</v>
      </c>
      <c r="C15" s="1"/>
      <c r="D15" t="str" cm="1">
        <f t="array" ref="D15">IFERROR(INDEX(CalcEngine!R:R,SMALL(CalcEngine!P:P,ROW()-3)),"")</f>
        <v>88BG(R) Bottom Guide Exposed Black</v>
      </c>
      <c r="E15" s="25"/>
      <c r="F15" s="52" cm="1">
        <f t="array" ref="F15">IF(D15="","",MAX(0,IFERROR(INDEX(CalcEngine!V:V,SMALL(CalcEngine!P:P,ROW()-3)),0)+N(E15)))</f>
        <v>2</v>
      </c>
      <c r="G15" s="2" t="str" cm="1">
        <f t="array" ref="G15">IFERROR(INDEX(CalcEngine!U:U,SMALL(CalcEngine!P:P,ROW()-3)),"")</f>
        <v>Pcs</v>
      </c>
      <c r="H15" s="5" cm="1">
        <f t="array" ref="H15">IFERROR(INDEX(CalcEngine!W:W,SMALL(CalcEngine!P:P,ROW()-3)),"")</f>
        <v>28</v>
      </c>
      <c r="I15" s="5">
        <f t="shared" si="0"/>
        <v>56</v>
      </c>
      <c r="K15" s="183"/>
      <c r="L15" s="187"/>
      <c r="M15" s="32"/>
      <c r="N15" s="32"/>
      <c r="O15" s="185"/>
      <c r="P15" s="186" t="str">
        <f t="shared" si="1"/>
        <v/>
      </c>
    </row>
    <row r="16" spans="1:30">
      <c r="A16" s="53" t="s">
        <v>83</v>
      </c>
      <c r="B16" s="31"/>
      <c r="C16" s="1"/>
      <c r="D16" t="str" cm="1">
        <f t="array" ref="D16">IFERROR(INDEX(CalcEngine!R:R,SMALL(CalcEngine!P:P,ROW()-3)),"")</f>
        <v>T28 Black Collapsible Door Handle</v>
      </c>
      <c r="E16" s="25"/>
      <c r="F16" s="52" cm="1">
        <f t="array" ref="F16">IF(D16="","",MAX(0,IFERROR(INDEX(CalcEngine!V:V,SMALL(CalcEngine!P:P,ROW()-3)),0)+N(E16)))</f>
        <v>2</v>
      </c>
      <c r="G16" s="2" t="str" cm="1">
        <f t="array" ref="G16">IFERROR(INDEX(CalcEngine!U:U,SMALL(CalcEngine!P:P,ROW()-3)),"")</f>
        <v>Pcs</v>
      </c>
      <c r="H16" s="5" cm="1">
        <f t="array" ref="H16">IFERROR(INDEX(CalcEngine!W:W,SMALL(CalcEngine!P:P,ROW()-3)),"")</f>
        <v>13</v>
      </c>
      <c r="I16" s="5">
        <f t="shared" si="0"/>
        <v>26</v>
      </c>
      <c r="K16" s="183"/>
      <c r="L16" s="187"/>
      <c r="M16" s="32"/>
      <c r="N16" s="32"/>
      <c r="O16" s="185"/>
      <c r="P16" s="186" t="str">
        <f t="shared" si="1"/>
        <v/>
      </c>
    </row>
    <row r="17" spans="1:17">
      <c r="A17" s="67" t="s">
        <v>382</v>
      </c>
      <c r="B17" s="399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>T29 Folding Door Acc Lockcase Black</v>
      </c>
      <c r="E17" s="25"/>
      <c r="F17" s="52" cm="1">
        <f t="array" ref="F17">IF(D17="","",MAX(0,IFERROR(INDEX(CalcEngine!V:V,SMALL(CalcEngine!P:P,ROW()-3)),0)+N(E17)))</f>
        <v>2</v>
      </c>
      <c r="G17" s="2" t="str" cm="1">
        <f t="array" ref="G17">IFERROR(INDEX(CalcEngine!U:U,SMALL(CalcEngine!P:P,ROW()-3)),"")</f>
        <v>Pcs</v>
      </c>
      <c r="H17" s="5" cm="1">
        <f t="array" ref="H17">IFERROR(INDEX(CalcEngine!W:W,SMALL(CalcEngine!P:P,ROW()-3)),"")</f>
        <v>13</v>
      </c>
      <c r="I17" s="5">
        <f t="shared" si="0"/>
        <v>26</v>
      </c>
      <c r="K17" s="183"/>
      <c r="L17" s="184"/>
      <c r="M17" s="32"/>
      <c r="N17" s="32"/>
      <c r="O17" s="185"/>
      <c r="P17" s="186" t="str">
        <f t="shared" si="1"/>
        <v/>
      </c>
    </row>
    <row r="18" spans="1:17">
      <c r="A18" s="68" t="s">
        <v>89</v>
      </c>
      <c r="B18" s="399"/>
      <c r="C18" s="1"/>
      <c r="D18" t="str" cm="1">
        <f t="array" ref="D18">IFERROR(INDEX(CalcEngine!R:R,SMALL(CalcEngine!P:P,ROW()-3)),"")</f>
        <v>Hinge</v>
      </c>
      <c r="E18" s="25"/>
      <c r="F18" s="52" cm="1">
        <f t="array" ref="F18">IF(D18="","",MAX(0,IFERROR(INDEX(CalcEngine!V:V,SMALL(CalcEngine!P:P,ROW()-3)),0)+N(E18)))</f>
        <v>14</v>
      </c>
      <c r="G18" s="2" t="str" cm="1">
        <f t="array" ref="G18">IFERROR(INDEX(CalcEngine!U:U,SMALL(CalcEngine!P:P,ROW()-3)),"")</f>
        <v>Pcs</v>
      </c>
      <c r="H18" s="5" cm="1">
        <f t="array" ref="H18">IFERROR(INDEX(CalcEngine!W:W,SMALL(CalcEngine!P:P,ROW()-3)),"")</f>
        <v>14</v>
      </c>
      <c r="I18" s="5">
        <f t="shared" si="0"/>
        <v>196</v>
      </c>
      <c r="K18" s="183"/>
      <c r="L18" s="184"/>
      <c r="M18" s="32"/>
      <c r="N18" s="32"/>
      <c r="O18" s="185"/>
      <c r="P18" s="186" t="str">
        <f t="shared" si="1"/>
        <v/>
      </c>
    </row>
    <row r="19" spans="1:17">
      <c r="A19" s="68" t="s">
        <v>1813</v>
      </c>
      <c r="B19" s="217" t="s">
        <v>2114</v>
      </c>
      <c r="C19" s="1"/>
      <c r="D19" t="str" cm="1">
        <f t="array" ref="D19">IFERROR(INDEX(CalcEngine!R:R,SMALL(CalcEngine!P:P,ROW()-3)),"")</f>
        <v>ET-78 Black Latch Bolt Exposed Track F-99C Square Escutcheon</v>
      </c>
      <c r="E19" s="25"/>
      <c r="F19" s="52" cm="1">
        <f t="array" ref="F19">IF(D19="","",MAX(0,IFERROR(INDEX(CalcEngine!V:V,SMALL(CalcEngine!P:P,ROW()-3)),0)+N(E19)))</f>
        <v>4</v>
      </c>
      <c r="G19" s="2" t="str" cm="1">
        <f t="array" ref="G19">IFERROR(INDEX(CalcEngine!U:U,SMALL(CalcEngine!P:P,ROW()-3)),"")</f>
        <v>Pair</v>
      </c>
      <c r="H19" s="5" cm="1">
        <f t="array" ref="H19">IFERROR(INDEX(CalcEngine!W:W,SMALL(CalcEngine!P:P,ROW()-3)),"")</f>
        <v>7.8</v>
      </c>
      <c r="I19" s="5">
        <f t="shared" si="0"/>
        <v>31.2</v>
      </c>
      <c r="K19" s="183"/>
      <c r="L19" s="184"/>
      <c r="M19" s="32"/>
      <c r="N19" s="32"/>
      <c r="O19" s="185"/>
      <c r="P19" s="186" t="str">
        <f t="shared" si="1"/>
        <v/>
      </c>
    </row>
    <row r="20" spans="1:17">
      <c r="A20" s="68" t="s">
        <v>976</v>
      </c>
      <c r="B20" s="219" t="s">
        <v>2455</v>
      </c>
      <c r="C20" s="1"/>
      <c r="D20" t="str" cm="1">
        <f t="array" ref="D20">IFERROR(INDEX(CalcEngine!R:R,SMALL(CalcEngine!P:P,ROW()-3)),"")</f>
        <v>911C Bracket 37.5mm LB Inner &amp; Outer Aluminium Bracket</v>
      </c>
      <c r="E20" s="25"/>
      <c r="F20" s="52" cm="1">
        <f t="array" ref="F20">IF(D20="","",MAX(0,IFERROR(INDEX(CalcEngine!V:V,SMALL(CalcEngine!P:P,ROW()-3)),0)+N(E20)))</f>
        <v>16</v>
      </c>
      <c r="G20" s="2" t="str" cm="1">
        <f t="array" ref="G20">IFERROR(INDEX(CalcEngine!U:U,SMALL(CalcEngine!P:P,ROW()-3)),"")</f>
        <v>Pcs</v>
      </c>
      <c r="H20" s="5" cm="1">
        <f t="array" ref="H20">IFERROR(INDEX(CalcEngine!W:W,SMALL(CalcEngine!P:P,ROW()-3)),"")</f>
        <v>1.1000000000000001</v>
      </c>
      <c r="I20" s="5">
        <f t="shared" si="0"/>
        <v>17.600000000000001</v>
      </c>
      <c r="K20" s="183"/>
      <c r="L20" s="184"/>
      <c r="M20" s="32"/>
      <c r="N20" s="32"/>
      <c r="O20" s="185"/>
      <c r="P20" s="186" t="str">
        <f t="shared" si="1"/>
        <v/>
      </c>
    </row>
    <row r="21" spans="1:17">
      <c r="A21" s="68" t="s">
        <v>2426</v>
      </c>
      <c r="B21" s="210"/>
      <c r="C21" s="1"/>
      <c r="D21" t="str" cm="1">
        <f t="array" ref="D21">IFERROR(INDEX(CalcEngine!R:R,SMALL(CalcEngine!P:P,ROW()-3)),"")</f>
        <v>3.5" x 2 Black Tape</v>
      </c>
      <c r="E21" s="25"/>
      <c r="F21" s="52" cm="1">
        <f t="array" ref="F21">IF(D21="","",MAX(0,IFERROR(INDEX(CalcEngine!V:V,SMALL(CalcEngine!P:P,ROW()-3)),0)+N(E21)))</f>
        <v>224</v>
      </c>
      <c r="G21" s="2" t="str" cm="1">
        <f t="array" ref="G21">IFERROR(INDEX(CalcEngine!U:U,SMALL(CalcEngine!P:P,ROW()-3)),"")</f>
        <v>Ft</v>
      </c>
      <c r="H21" s="5" cm="1">
        <f t="array" ref="H21">IFERROR(INDEX(CalcEngine!W:W,SMALL(CalcEngine!P:P,ROW()-3)),"")</f>
        <v>0.27999943104001823</v>
      </c>
      <c r="I21" s="5">
        <f t="shared" si="0"/>
        <v>62.719872552964084</v>
      </c>
      <c r="K21" s="183"/>
      <c r="L21" s="184"/>
      <c r="M21" s="32"/>
      <c r="N21" s="32"/>
      <c r="O21" s="185"/>
      <c r="P21" s="186" t="str">
        <f t="shared" si="1"/>
        <v/>
      </c>
    </row>
    <row r="22" spans="1:17">
      <c r="A22" s="68"/>
      <c r="B22" s="209"/>
      <c r="C22" s="1"/>
      <c r="D22" t="str" cm="1">
        <f t="array" ref="D22">IFERROR(INDEX(CalcEngine!R:R,SMALL(CalcEngine!P:P,ROW()-3)),"")</f>
        <v>VT210 Neutral Sealant Clear/WH/Grey 300ML</v>
      </c>
      <c r="E22" s="25"/>
      <c r="F22" s="52" cm="1">
        <f t="array" ref="F22">IF(D22="","",MAX(0,IFERROR(INDEX(CalcEngine!V:V,SMALL(CalcEngine!P:P,ROW()-3)),0)+N(E22)))</f>
        <v>781</v>
      </c>
      <c r="G22" s="2" t="str" cm="1">
        <f t="array" ref="G22">IFERROR(INDEX(CalcEngine!U:U,SMALL(CalcEngine!P:P,ROW()-3)),"")</f>
        <v>ML</v>
      </c>
      <c r="H22" s="5" cm="1">
        <f t="array" ref="H22">IFERROR(INDEX(CalcEngine!W:W,SMALL(CalcEngine!P:P,ROW()-3)),"")</f>
        <v>2.5333333333333333E-2</v>
      </c>
      <c r="I22" s="5">
        <f t="shared" si="0"/>
        <v>19.785333333333334</v>
      </c>
      <c r="K22" s="183"/>
      <c r="L22" s="184"/>
      <c r="M22" s="32"/>
      <c r="N22" s="32"/>
      <c r="O22" s="185"/>
      <c r="P22" s="186" t="str">
        <f t="shared" si="1"/>
        <v/>
      </c>
    </row>
    <row r="23" spans="1:17">
      <c r="A23" s="414"/>
      <c r="B23" s="399"/>
      <c r="C23" s="1"/>
      <c r="D23" t="str" cm="1">
        <f t="array" ref="D23">IFERROR(INDEX(CalcEngine!R:R,SMALL(CalcEngine!P:P,ROW()-3)),"")</f>
        <v>5X7 VSP Weather Strip</v>
      </c>
      <c r="E23" s="25"/>
      <c r="F23" s="52" cm="1">
        <f t="array" ref="F23">IF(D23="","",MAX(0,IFERROR(INDEX(CalcEngine!V:V,SMALL(CalcEngine!P:P,ROW()-3)),0)+N(E23)))</f>
        <v>32</v>
      </c>
      <c r="G23" s="2" t="str" cm="1">
        <f t="array" ref="G23">IFERROR(INDEX(CalcEngine!U:U,SMALL(CalcEngine!P:P,ROW()-3)),"")</f>
        <v>Ft</v>
      </c>
      <c r="H23" s="5" cm="1">
        <f t="array" ref="H23">IFERROR(INDEX(CalcEngine!W:W,SMALL(CalcEngine!P:P,ROW()-3)),"")</f>
        <v>0.10286999670816011</v>
      </c>
      <c r="I23" s="5">
        <f t="shared" si="0"/>
        <v>3.2918398946611234</v>
      </c>
      <c r="K23" s="183"/>
      <c r="L23" s="184"/>
      <c r="M23" s="32"/>
      <c r="N23" s="32"/>
      <c r="O23" s="185"/>
      <c r="P23" s="186" t="str">
        <f t="shared" si="1"/>
        <v/>
      </c>
    </row>
    <row r="24" spans="1:17">
      <c r="A24" s="68"/>
      <c r="B24" s="400"/>
      <c r="C24" s="1"/>
      <c r="D24" t="str" cm="1">
        <f t="array" ref="D24">IFERROR(INDEX(CalcEngine!R:R,SMALL(CalcEngine!P:P,ROW()-3)),"")</f>
        <v>2152 Inner Frame Gasket</v>
      </c>
      <c r="E24" s="25"/>
      <c r="F24" s="52" cm="1">
        <f t="array" ref="F24">IF(D24="","",MAX(0,IFERROR(INDEX(CalcEngine!V:V,SMALL(CalcEngine!P:P,ROW()-3)),0)+N(E24)))</f>
        <v>80</v>
      </c>
      <c r="G24" s="2" t="str" cm="1">
        <f t="array" ref="G24">IFERROR(INDEX(CalcEngine!U:U,SMALL(CalcEngine!P:P,ROW()-3)),"")</f>
        <v>Ft</v>
      </c>
      <c r="H24" s="5" cm="1">
        <f t="array" ref="H24">IFERROR(INDEX(CalcEngine!W:W,SMALL(CalcEngine!P:P,ROW()-3)),"")</f>
        <v>9.5623526351811858E-2</v>
      </c>
      <c r="I24" s="5">
        <f t="shared" si="0"/>
        <v>7.6498821081449488</v>
      </c>
      <c r="K24" s="183"/>
      <c r="L24" s="184"/>
      <c r="M24" s="32"/>
      <c r="N24" s="32"/>
      <c r="O24" s="185"/>
      <c r="P24" s="186" t="str">
        <f t="shared" si="1"/>
        <v/>
      </c>
    </row>
    <row r="25" spans="1:17">
      <c r="A25" s="428"/>
      <c r="B25" s="399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8"/>
      <c r="L25" s="189"/>
      <c r="M25" s="190"/>
      <c r="N25" s="190">
        <f>IF(N2="","",N2)</f>
        <v>1</v>
      </c>
      <c r="O25" s="190">
        <f>IF(B33="","",B33)</f>
        <v>7939.9429278891039</v>
      </c>
      <c r="P25" s="191"/>
    </row>
    <row r="26" spans="1:17">
      <c r="A26" s="428"/>
      <c r="B26" s="400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0"/>
      <c r="K26" s="129" t="s">
        <v>175</v>
      </c>
      <c r="L26" s="129" t="s">
        <v>799</v>
      </c>
      <c r="M26" s="129" t="s">
        <v>102</v>
      </c>
      <c r="N26" s="129" t="s">
        <v>98</v>
      </c>
      <c r="O26" s="129" t="s">
        <v>430</v>
      </c>
      <c r="P26" s="129" t="s">
        <v>78</v>
      </c>
      <c r="Q26" s="34"/>
    </row>
    <row r="27" spans="1:17">
      <c r="A27" s="401"/>
      <c r="B27" s="402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0">
        <f>IF(K5="","",K5)</f>
        <v>1</v>
      </c>
      <c r="L27" s="131" t="str">
        <f>IF(L5="","",L5)</f>
        <v xml:space="preserve">895mmW X 2300mmH  Alu. Glass Standard 2 Panel Supply &amp; Install SF 3" CTW / SF Partition / Z-Louvre P/C 6mm Clear Tempered Glass Panel Breezway 152mm Glass Infill      </v>
      </c>
      <c r="M27" s="130" t="str">
        <f>IF(M5="","",M5)</f>
        <v>Set</v>
      </c>
      <c r="N27" s="132">
        <v>1</v>
      </c>
      <c r="O27" s="133">
        <v>2019.6965721662493</v>
      </c>
      <c r="P27" s="133">
        <f>IF(OR(NOT(ISNUMBER(N27)),NOT(ISNUMBER(O27))),"",N27*O27)</f>
        <v>2019.6965721662493</v>
      </c>
    </row>
    <row r="28" spans="1:17">
      <c r="A28" s="212"/>
      <c r="B28" s="212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0">
        <f t="shared" ref="K28:K46" si="2">IF(K6="","",K6)</f>
        <v>2</v>
      </c>
      <c r="L28" s="131" t="str">
        <f t="shared" ref="L28:M46" si="3">IF(L6="","",L6)</f>
        <v xml:space="preserve">2345mmW X 2300mmH  Alu. Glass Standard 4 Panel Supply &amp; Install SF 3" CTW / SF Partition / Z-Louvre P/C 6mm Clear Tempered Glass Panel Breezway 152mm Glass Infill      </v>
      </c>
      <c r="M28" s="130" t="str">
        <f t="shared" si="3"/>
        <v>Set</v>
      </c>
      <c r="N28" s="132">
        <v>1</v>
      </c>
      <c r="O28" s="134">
        <v>3826.2881814523039</v>
      </c>
      <c r="P28" s="133">
        <f t="shared" ref="P28:P46" si="4">IF(OR(NOT(ISNUMBER(N28)),NOT(ISNUMBER(O28))),"",N28*O28)</f>
        <v>3826.2881814523039</v>
      </c>
    </row>
    <row r="29" spans="1:17">
      <c r="A29" s="212"/>
      <c r="B29" s="212"/>
      <c r="C29" s="1"/>
      <c r="D29" t="str" cm="1">
        <f t="array" ref="D29">IFERROR(INDEX(CalcEngine!R:R,SMALL(CalcEngine!P:P,ROW()-3)),"")</f>
        <v/>
      </c>
      <c r="E29" s="25"/>
      <c r="F29" s="52" t="str" cm="1">
        <f t="array" ref="F29">IF(D29="","",MAX(0,IFERROR(INDEX(CalcEngine!V:V,SMALL(CalcEngine!P:P,ROW()-3)),0)+N(E29)))</f>
        <v/>
      </c>
      <c r="G29" s="2" t="str" cm="1">
        <f t="array" ref="G29">IFERROR(INDEX(CalcEngine!U:U,SMALL(CalcEngine!P:P,ROW()-3)),"")</f>
        <v/>
      </c>
      <c r="H29" s="5" t="str" cm="1">
        <f t="array" ref="H29">IFERROR(INDEX(CalcEngine!W:W,SMALL(CalcEngine!P:P,ROW()-3)),"")</f>
        <v/>
      </c>
      <c r="I29" s="5" t="str">
        <f t="shared" si="0"/>
        <v/>
      </c>
      <c r="K29" s="130">
        <f t="shared" si="2"/>
        <v>3</v>
      </c>
      <c r="L29" s="131" t="str">
        <f t="shared" si="3"/>
        <v xml:space="preserve">2390mmW X 2300mmH  Alu. Glass Standard 4 Panel Supply &amp; Install SF 3" CTW / SF Partition / Z-Louvre P/C 6mm Clear Tempered Glass Panel Breezway 152mm Glass Infill      </v>
      </c>
      <c r="M29" s="130" t="str">
        <f t="shared" si="3"/>
        <v>Set</v>
      </c>
      <c r="N29" s="132">
        <v>1</v>
      </c>
      <c r="O29" s="136">
        <v>3833.4416365774096</v>
      </c>
      <c r="P29" s="133">
        <f t="shared" si="4"/>
        <v>3833.4416365774096</v>
      </c>
    </row>
    <row r="30" spans="1:17">
      <c r="A30" s="212"/>
      <c r="B30" s="212"/>
      <c r="C30" s="1"/>
      <c r="D30" s="211"/>
      <c r="E30" s="180"/>
      <c r="F30" s="89"/>
      <c r="G30" s="180"/>
      <c r="H30" s="119"/>
      <c r="I30" s="5" t="str">
        <f t="shared" si="0"/>
        <v/>
      </c>
      <c r="K30" s="130">
        <f t="shared" si="2"/>
        <v>4</v>
      </c>
      <c r="L30" s="131" t="str">
        <f t="shared" si="3"/>
        <v xml:space="preserve">450mmW X 2700mmH  Alu. Glass Standard 1 Panel Supply &amp; Install SF 3" CTW / SF Partition / Z-Louvre P/C 6mm Clear Tempered Glass Panel Breezway 152mm Glass Infill      </v>
      </c>
      <c r="M30" s="130" t="str">
        <f t="shared" si="3"/>
        <v>Set</v>
      </c>
      <c r="N30" s="132">
        <v>1</v>
      </c>
      <c r="O30" s="136">
        <v>1415.1822013616897</v>
      </c>
      <c r="P30" s="133">
        <f t="shared" si="4"/>
        <v>1415.1822013616897</v>
      </c>
    </row>
    <row r="31" spans="1:17">
      <c r="A31" s="201" t="s">
        <v>2145</v>
      </c>
      <c r="B31" s="419" cm="1">
        <f t="array" ref="B31">IF(UPPER(TRIM(SUBSTITUTE(Enginuity!$A$1,CHAR(160)," ")))="VITALLY",0,IF(TRIM(Enginuity!$A$17)="","",_xlfn.XLOOKUP(1,(TRIM(CalcEngine!$A$2:$A$6)="Service Mode Margin")*(TRIM(CalcEngine!$B$2:$B$6)=TRIM(Enginuity!$A$17)),CalcEngine!$C$2:$C$6,"")))</f>
        <v>0</v>
      </c>
      <c r="C31" s="1"/>
      <c r="D31" s="179"/>
      <c r="E31" s="180"/>
      <c r="F31" s="181"/>
      <c r="G31" s="180"/>
      <c r="H31" s="182"/>
      <c r="I31" s="182"/>
      <c r="K31" s="130">
        <f t="shared" si="2"/>
        <v>5</v>
      </c>
      <c r="L31" s="131" t="str">
        <f t="shared" si="3"/>
        <v xml:space="preserve">500mmW X 2100mmH  Alu. Glass Standard 1 Panel Supply &amp; Install SF 3" CTW / SF Partition / Z-Louvre P/C 6mm Clear Tempered Glass Panel Breezway 152mm Glass Infill      </v>
      </c>
      <c r="M31" s="130" t="str">
        <f t="shared" si="3"/>
        <v>Set</v>
      </c>
      <c r="N31" s="132">
        <v>1</v>
      </c>
      <c r="O31" s="136">
        <v>1151.1617511692978</v>
      </c>
      <c r="P31" s="133">
        <f t="shared" si="4"/>
        <v>1151.1617511692978</v>
      </c>
    </row>
    <row r="32" spans="1:17">
      <c r="A32" s="56" t="s">
        <v>6</v>
      </c>
      <c r="B32" s="403" cm="1">
        <f t="array" ref="B32">IF(UPPER(TRIM(SUBSTITUTE(Enginuity!$A$1,CHAR(160)," ")))="VITALLY",MAX(0,IFERROR(N(_xlfn.LET(_xlpm.selType,TRIM(SUBSTITUTE(Enginuity!$A$18,CHAR(160)," ")),_xlpm.scanRows,ROW(CalcEngine!$A$61:$A$4970),_xlpm.hitRows,_xlfn._xlws.FILTER(_xlpm.scanRows,(UPPER(TRIM(SUBSTITUTE(CalcEngine!$A$61:$A$4970,CHAR(160)," ")))="VITALLY")*(TRIM(SUBSTITUTE(CalcEngine!$C$61:$C$4970,CHAR(160)," "))=_xlpm.selType)),_xlpm.blockTops,_xlfn.UNIQUE(61+30*INT((_xlpm.hitRows-61)/30)),_xlpm.blockTop,INDEX(_xlfn._xlws.FILTER(_xlpm.blockTops,TRIM(SUBSTITUTE(INDEX(CalcEngine!$F:$F,_xlpm.blockTops),CHAR(160)," "))="▼ [Product Subtype]"),1),INDEX(CalcEngine!$M:$M,_xlpm.blockTop))),0)-IFERROR(B31,0)-IFERROR(B34,0)),MAX(0,_xlfn.LET(_xlpm.r,ROW(CalcEngine!$A$2:$A$4970),_xlpm.grp,UPPER(TRIM(Enginuity!$A$1)),_xlpm.prd,UPPER(TRIM(Enginuity!$A$18)),_xlpm.subSel,TRIM(Enginuity!$B$18),_xlpm.a21Sel,UPPER(TRIM(Enginuity!$A$21)),_xlpm.subOk,AND(_xlpm.subSel&lt;&gt;"",IFERROR(COUNTIF(EBB_List,_xlpm.subSel),0)&gt;0),_xlpm.srcA,UPPER(TRIM(CalcEngine!$A$2:$A$4970)),_xlpm.srcC,UPPER(TRIM(CalcEngine!$C$2:$C$4970)),_xlpm.srcD,UPPER(TRIM(CalcEngine!$D$2:$D$4970)),_xlpm.srcF,UPPER(TRIM(CalcEngine!$F$2:$F$4970)),_xlpm.srcM,CalcEngine!$M$2:$M$4970,_xlpm.srcO,UPPER(TRIM(CalcEngine!$O$2:$O$4970)),_xlpm.hitRow,IFERROR(_xlfn.XLOOKUP(1,(_xlpm.srcA=_xlpm.grp)*(_xlpm.srcC=_xlpm.prd)*(_xlpm.srcD="N/A"),_xlpm.r,""),""),_xlpm.blkTop,IF(_xlpm.hitRow="","",61+30*INT((_xlpm.hitRow-61)/30)),_xlpm.blkF,IF(_xlpm.blkTop="","",UPPER(TRIM(INDEX(CalcEngine!$F:$F,_xlfn.SEQUENCE(30,,_xlpm.blkTop))))),_xlpm.blkM,IF(_xlpm.blkTop="","",INDEX(CalcEngine!$M:$M,_xlfn.SEQUENCE(30,,_xlpm.blkTop))),_xlpm.blkO,IF(_xlpm.blkTop="","",UPPER(TRIM(INDEX(CalcEngine!$O:$O,_xlfn.SEQUENCE(30,,_xlpm.blkTop))))),_xlpm.subPos,IF(OR(_xlpm.blkTop="",NOT(_xlpm.subOk)),"",IFERROR(_xlfn.XMATCH(UPPER(TRIM(_xlpm.subSel)),_xlpm.blkF,0),"")),_xlpm.a21Pos,IF(OR(_xlpm.blkTop="",_xlpm.a21Sel=""),"",IFERROR(_xlfn.XMATCH(_xlpm.a21Sel,_xlpm.blkF,0),"")),_xlpm.defPos,IF(_xlpm.blkTop="","",IFERROR(_xlfn.XMATCH("DEF",_xlpm.blkO,0),"")),_xlpm.subVal,IF(_xlpm.subPos="","",INDEX(_xlpm.blkM,_xlpm.subPos)),_xlpm.a21Val,IF(_xlpm.a21Pos="","",INDEX(_xlpm.blkM,_xlpm.a21Pos)),_xlpm.defVal,IF(_xlpm.defPos="","",INDEX(_xlpm.blkM,_xlpm.defPos)),_xlpm.rOld,IFERROR(_xlfn.XLOOKUP(1,(_xlpm.srcA=_xlpm.grp)*(_xlpm.srcC=_xlpm.prd)*(_xlpm.srcM&lt;&gt;""),_xlpm.srcM,0),0),_xlpm.baseVal,IF(_xlpm.subVal&lt;&gt;"",_xlpm.subVal,IF(_xlpm.a21Val&lt;&gt;"",_xlpm.a21Val,IF(_xlpm.defVal&lt;&gt;"",_xlpm.defVal,_xlpm.rOld))),_xlpm.baseVal-IFERROR(B31,0)-IFERROR(B34,0))))</f>
        <v>0.47895554108750998</v>
      </c>
      <c r="C32" s="1"/>
      <c r="D32" s="179"/>
      <c r="E32" s="180"/>
      <c r="F32" s="181"/>
      <c r="G32" s="180"/>
      <c r="H32" s="182"/>
      <c r="I32" s="182"/>
      <c r="K32" s="130">
        <f t="shared" si="2"/>
        <v>6</v>
      </c>
      <c r="L32" s="131" t="str">
        <f t="shared" si="3"/>
        <v xml:space="preserve">1900mmW X 500mmH  Alu. Glass Standard 4 Panel Supply &amp; Install SF 3" CTW / SF Partition / Z-Louvre P/C 6mm Clear Tempered Glass Panel Breezway 152mm Glass Infill      </v>
      </c>
      <c r="M32" s="130" t="str">
        <f t="shared" si="3"/>
        <v>Set</v>
      </c>
      <c r="N32" s="135">
        <v>1</v>
      </c>
      <c r="O32" s="136">
        <v>1329.7778167361666</v>
      </c>
      <c r="P32" s="133">
        <f t="shared" si="4"/>
        <v>1329.7778167361666</v>
      </c>
    </row>
    <row r="33" spans="1:16">
      <c r="A33" s="56" t="s">
        <v>8</v>
      </c>
      <c r="B33" s="168">
        <f>SUMIF(I4:I40, "&lt;&gt;0")</f>
        <v>7939.9429278891039</v>
      </c>
      <c r="C33" s="1"/>
      <c r="D33" s="179"/>
      <c r="E33" s="180"/>
      <c r="F33" s="181"/>
      <c r="G33" s="180"/>
      <c r="H33" s="182"/>
      <c r="I33" s="182"/>
      <c r="K33" s="130" t="str">
        <f t="shared" si="2"/>
        <v/>
      </c>
      <c r="L33" s="131" t="str">
        <f t="shared" si="3"/>
        <v/>
      </c>
      <c r="M33" s="130" t="str">
        <f t="shared" si="3"/>
        <v/>
      </c>
      <c r="N33" s="135"/>
      <c r="O33" s="136"/>
      <c r="P33" s="133" t="str">
        <f t="shared" si="4"/>
        <v/>
      </c>
    </row>
    <row r="34" spans="1:16">
      <c r="A34" s="69" t="s">
        <v>10</v>
      </c>
      <c r="B34" s="33"/>
      <c r="C34" s="1"/>
      <c r="D34" s="179"/>
      <c r="E34" s="180"/>
      <c r="F34" s="181"/>
      <c r="G34" s="180"/>
      <c r="H34" s="182"/>
      <c r="I34" s="182"/>
      <c r="K34" s="130" t="str">
        <f t="shared" si="2"/>
        <v/>
      </c>
      <c r="L34" s="131" t="str">
        <f t="shared" si="3"/>
        <v/>
      </c>
      <c r="M34" s="130" t="str">
        <f t="shared" si="3"/>
        <v/>
      </c>
      <c r="N34" s="135"/>
      <c r="O34" s="136"/>
      <c r="P34" s="133" t="str">
        <f t="shared" si="4"/>
        <v/>
      </c>
    </row>
    <row r="35" spans="1:16">
      <c r="A35" s="56" t="s">
        <v>119</v>
      </c>
      <c r="B35" s="168">
        <f>IF(AND(ISNUMBER(B33), ISNUMBER(B9), B9&lt;&gt;0), B33/B9, "")</f>
        <v>124.06160824826725</v>
      </c>
      <c r="C35" s="1"/>
      <c r="D35" s="179"/>
      <c r="E35" s="180"/>
      <c r="F35" s="181"/>
      <c r="G35" s="180"/>
      <c r="H35" s="182"/>
      <c r="I35" s="182"/>
      <c r="K35" s="130" t="str">
        <f t="shared" si="2"/>
        <v/>
      </c>
      <c r="L35" s="131" t="str">
        <f t="shared" si="3"/>
        <v/>
      </c>
      <c r="M35" s="130" t="str">
        <f t="shared" si="3"/>
        <v/>
      </c>
      <c r="N35" s="135"/>
      <c r="O35" s="136"/>
      <c r="P35" s="133" t="str">
        <f t="shared" si="4"/>
        <v/>
      </c>
    </row>
    <row r="36" spans="1:16">
      <c r="A36" s="169" t="s">
        <v>120</v>
      </c>
      <c r="B36" s="170">
        <f>IF(AND(ISNUMBER(B37), ISNUMBER(B9), B9&lt;&gt;0), B37/B9, "")</f>
        <v>238.10177063816261</v>
      </c>
      <c r="C36" s="1"/>
      <c r="D36" s="179"/>
      <c r="E36" s="180"/>
      <c r="F36" s="181"/>
      <c r="G36" s="180"/>
      <c r="H36" s="182"/>
      <c r="I36" s="182"/>
      <c r="K36" s="130" t="str">
        <f t="shared" si="2"/>
        <v/>
      </c>
      <c r="L36" s="131" t="str">
        <f t="shared" si="3"/>
        <v/>
      </c>
      <c r="M36" s="130" t="str">
        <f t="shared" si="3"/>
        <v/>
      </c>
      <c r="N36" s="135"/>
      <c r="O36" s="136"/>
      <c r="P36" s="133" t="str">
        <f t="shared" si="4"/>
        <v/>
      </c>
    </row>
    <row r="37" spans="1:16">
      <c r="A37" s="171" t="s">
        <v>7</v>
      </c>
      <c r="B37" s="172">
        <f>IF(AND(ISNUMBER(B33), ISNUMBER(B32), B33&lt;&gt;0, B32&lt;&gt;1), B33/(1-B32), "")</f>
        <v>15238.513320842407</v>
      </c>
      <c r="C37" s="1"/>
      <c r="D37" s="179"/>
      <c r="E37" s="180"/>
      <c r="F37" s="181"/>
      <c r="G37" s="180"/>
      <c r="H37" s="182"/>
      <c r="I37" s="182"/>
      <c r="K37" s="130" t="str">
        <f t="shared" si="2"/>
        <v/>
      </c>
      <c r="L37" s="131" t="str">
        <f t="shared" si="3"/>
        <v/>
      </c>
      <c r="M37" s="130" t="str">
        <f t="shared" si="3"/>
        <v/>
      </c>
      <c r="N37" s="135"/>
      <c r="O37" s="136"/>
      <c r="P37" s="133" t="str">
        <f t="shared" si="4"/>
        <v/>
      </c>
    </row>
    <row r="38" spans="1:16">
      <c r="A38" s="173" t="s">
        <v>174</v>
      </c>
      <c r="B38" s="174">
        <f>IF(OR(B37="",B33=""),"",IFERROR(IF(B37-B33=0,"-",B37-B33),""))</f>
        <v>7298.5703929533029</v>
      </c>
      <c r="C38" s="1"/>
      <c r="D38" s="179"/>
      <c r="E38" s="180"/>
      <c r="F38" s="181"/>
      <c r="G38" s="180"/>
      <c r="H38" s="182"/>
      <c r="I38" s="182"/>
      <c r="K38" s="130" t="str">
        <f t="shared" si="2"/>
        <v/>
      </c>
      <c r="L38" s="131" t="str">
        <f t="shared" si="3"/>
        <v/>
      </c>
      <c r="M38" s="130" t="str">
        <f t="shared" si="3"/>
        <v/>
      </c>
      <c r="N38" s="135"/>
      <c r="O38" s="136"/>
      <c r="P38" s="133" t="str">
        <f t="shared" si="4"/>
        <v/>
      </c>
    </row>
    <row r="39" spans="1:16">
      <c r="A39" s="175"/>
      <c r="B39" s="176"/>
      <c r="C39" s="1"/>
      <c r="D39" s="179"/>
      <c r="E39" s="180"/>
      <c r="F39" s="181"/>
      <c r="G39" s="180"/>
      <c r="H39" s="182"/>
      <c r="I39" s="182"/>
      <c r="K39" s="130" t="str">
        <f t="shared" si="2"/>
        <v/>
      </c>
      <c r="L39" s="131" t="str">
        <f t="shared" si="3"/>
        <v/>
      </c>
      <c r="M39" s="130" t="str">
        <f t="shared" si="3"/>
        <v/>
      </c>
      <c r="N39" s="135"/>
      <c r="O39" s="136"/>
      <c r="P39" s="133" t="str">
        <f t="shared" si="4"/>
        <v/>
      </c>
    </row>
    <row r="40" spans="1:16">
      <c r="A40" s="77" t="s">
        <v>1461</v>
      </c>
      <c r="B40" s="77">
        <f>IF(OR($B$33="",$B$6=""),"",IFERROR($B$33/$B$6,""))</f>
        <v>992.49286598613799</v>
      </c>
      <c r="C40" s="1"/>
      <c r="D40" s="179"/>
      <c r="E40" s="180"/>
      <c r="F40" s="181"/>
      <c r="G40" s="180"/>
      <c r="H40" s="182"/>
      <c r="I40" s="182"/>
      <c r="K40" s="130" t="str">
        <f t="shared" si="2"/>
        <v/>
      </c>
      <c r="L40" s="131" t="str">
        <f t="shared" si="3"/>
        <v/>
      </c>
      <c r="M40" s="130" t="str">
        <f t="shared" si="3"/>
        <v/>
      </c>
      <c r="N40" s="135"/>
      <c r="O40" s="136"/>
      <c r="P40" s="133" t="str">
        <f t="shared" si="4"/>
        <v/>
      </c>
    </row>
    <row r="41" spans="1:16">
      <c r="A41" s="77" t="s">
        <v>1462</v>
      </c>
      <c r="B41" s="77">
        <f>IF(OR($B$37="",$B$6=""),"",IFERROR($B$37/$B$6,""))</f>
        <v>1904.8141651053008</v>
      </c>
      <c r="C41" s="1"/>
      <c r="D41" s="179"/>
      <c r="E41" s="180"/>
      <c r="F41" s="181"/>
      <c r="G41" s="180"/>
      <c r="H41" s="182"/>
      <c r="I41" s="182"/>
      <c r="K41" s="130" t="str">
        <f t="shared" si="2"/>
        <v/>
      </c>
      <c r="L41" s="131" t="str">
        <f t="shared" si="3"/>
        <v/>
      </c>
      <c r="M41" s="130" t="str">
        <f t="shared" si="3"/>
        <v/>
      </c>
      <c r="N41" s="135"/>
      <c r="O41" s="136"/>
      <c r="P41" s="133" t="str">
        <f t="shared" si="4"/>
        <v/>
      </c>
    </row>
    <row r="42" spans="1:16">
      <c r="A42" s="77"/>
      <c r="B42" s="77"/>
      <c r="C42" s="1"/>
      <c r="D42" s="179"/>
      <c r="E42" s="180"/>
      <c r="F42" s="181"/>
      <c r="G42" s="180"/>
      <c r="H42" s="182"/>
      <c r="I42" s="182"/>
      <c r="K42" s="130" t="str">
        <f t="shared" si="2"/>
        <v/>
      </c>
      <c r="L42" s="131" t="str">
        <f t="shared" si="3"/>
        <v/>
      </c>
      <c r="M42" s="130" t="str">
        <f t="shared" si="3"/>
        <v/>
      </c>
      <c r="N42" s="135"/>
      <c r="O42" s="136"/>
      <c r="P42" s="133" t="str">
        <f t="shared" si="4"/>
        <v/>
      </c>
    </row>
    <row r="43" spans="1:16">
      <c r="A43" s="77"/>
      <c r="B43" s="77"/>
      <c r="C43" s="1"/>
      <c r="D43" s="179"/>
      <c r="E43" s="180"/>
      <c r="F43" s="181"/>
      <c r="G43" s="180"/>
      <c r="H43" s="182"/>
      <c r="I43" s="182"/>
      <c r="K43" s="130" t="str">
        <f t="shared" si="2"/>
        <v/>
      </c>
      <c r="L43" s="131" t="str">
        <f t="shared" si="3"/>
        <v/>
      </c>
      <c r="M43" s="130" t="str">
        <f t="shared" si="3"/>
        <v/>
      </c>
      <c r="N43" s="135"/>
      <c r="O43" s="136"/>
      <c r="P43" s="133" t="str">
        <f t="shared" si="4"/>
        <v/>
      </c>
    </row>
    <row r="44" spans="1:16">
      <c r="A44" s="77"/>
      <c r="B44" s="77"/>
      <c r="C44" s="1"/>
      <c r="D44" s="179"/>
      <c r="E44" s="180"/>
      <c r="F44" s="181"/>
      <c r="G44" s="180"/>
      <c r="H44" s="182"/>
      <c r="I44" s="182"/>
      <c r="K44" s="130" t="str">
        <f t="shared" si="2"/>
        <v/>
      </c>
      <c r="L44" s="131" t="str">
        <f t="shared" si="3"/>
        <v/>
      </c>
      <c r="M44" s="130" t="str">
        <f t="shared" si="3"/>
        <v/>
      </c>
      <c r="N44" s="135"/>
      <c r="O44" s="136"/>
      <c r="P44" s="133" t="str">
        <f t="shared" si="4"/>
        <v/>
      </c>
    </row>
    <row r="45" spans="1:16">
      <c r="A45" s="213" t="s">
        <v>961</v>
      </c>
      <c r="B45" s="214" t="s">
        <v>962</v>
      </c>
      <c r="C45" s="1"/>
      <c r="D45" s="179"/>
      <c r="E45" s="180"/>
      <c r="F45" s="181"/>
      <c r="G45" s="180"/>
      <c r="H45" s="182"/>
      <c r="I45" s="182"/>
      <c r="K45" s="130" t="str">
        <f t="shared" si="2"/>
        <v/>
      </c>
      <c r="L45" s="131" t="str">
        <f t="shared" si="3"/>
        <v/>
      </c>
      <c r="M45" s="130" t="str">
        <f t="shared" si="3"/>
        <v/>
      </c>
      <c r="N45" s="135"/>
      <c r="O45" s="136"/>
      <c r="P45" s="133" t="str">
        <f t="shared" si="4"/>
        <v/>
      </c>
    </row>
    <row r="46" spans="1:16">
      <c r="A46" s="215" t="s">
        <v>974</v>
      </c>
      <c r="B46" s="216">
        <f>IF(OR(B9="",A46="",B9=0,A46=0),"",B9*A46*0.2333)</f>
        <v>179.17439999999999</v>
      </c>
      <c r="C46" s="1"/>
      <c r="D46" s="179"/>
      <c r="E46" s="180"/>
      <c r="F46" s="181"/>
      <c r="G46" s="180"/>
      <c r="H46" s="182"/>
      <c r="I46" s="182"/>
      <c r="K46" s="130" t="str">
        <f t="shared" si="2"/>
        <v/>
      </c>
      <c r="L46" s="131" t="str">
        <f t="shared" si="3"/>
        <v/>
      </c>
      <c r="M46" s="130" t="str">
        <f t="shared" si="3"/>
        <v/>
      </c>
      <c r="N46" s="135"/>
      <c r="O46" s="136"/>
      <c r="P46" s="133" t="str">
        <f t="shared" si="4"/>
        <v/>
      </c>
    </row>
    <row r="47" spans="1:16">
      <c r="A47" s="144" t="s">
        <v>470</v>
      </c>
      <c r="B47" s="145" t="s">
        <v>471</v>
      </c>
      <c r="C47" s="1"/>
      <c r="D47" s="179"/>
      <c r="E47" s="180"/>
      <c r="F47" s="181"/>
      <c r="G47" s="180"/>
      <c r="H47" s="182"/>
      <c r="I47" s="182"/>
      <c r="L47" s="16"/>
      <c r="M47" s="32"/>
      <c r="N47" s="32"/>
      <c r="O47" s="137" t="s">
        <v>436</v>
      </c>
      <c r="P47" s="138">
        <f>IF(SUM(P27:P46)=0,"",SUM(P27:P46))</f>
        <v>13575.548159463118</v>
      </c>
    </row>
    <row r="48" spans="1:16">
      <c r="A48" s="142" t="s">
        <v>1994</v>
      </c>
      <c r="B48" s="143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79"/>
      <c r="E48" s="180"/>
      <c r="F48" s="181"/>
      <c r="G48" s="180"/>
      <c r="H48" s="182"/>
      <c r="I48" s="182"/>
      <c r="L48" s="16"/>
      <c r="M48" s="32"/>
      <c r="N48" s="32"/>
      <c r="O48" s="137" t="s">
        <v>435</v>
      </c>
      <c r="P48" s="138">
        <f>IF(AND(COUNT(P5:P24)=0,COUNT(P27:P46)=0),"",SUM(P5:P24)-SUM(P27:P46))</f>
        <v>14706.843839418378</v>
      </c>
    </row>
    <row r="49" spans="1:16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6"/>
      <c r="M49" s="75"/>
      <c r="N49" s="75"/>
      <c r="O49" s="127"/>
      <c r="P49" s="127"/>
    </row>
    <row r="50" spans="1:16">
      <c r="A50" s="78" t="s">
        <v>385</v>
      </c>
      <c r="C50" s="1"/>
      <c r="F50" s="6"/>
      <c r="I50" s="5"/>
      <c r="L50" s="1" t="s">
        <v>423</v>
      </c>
    </row>
    <row r="51" spans="1:16">
      <c r="A51" s="5" t="s">
        <v>386</v>
      </c>
      <c r="B51" s="114">
        <f>B33</f>
        <v>7939.9429278891039</v>
      </c>
      <c r="F51" s="6"/>
    </row>
    <row r="52" spans="1:16">
      <c r="A52" s="5" t="s">
        <v>387</v>
      </c>
      <c r="B52" s="115">
        <v>6500</v>
      </c>
      <c r="F52" s="6"/>
    </row>
    <row r="53" spans="1:16">
      <c r="A53" s="5"/>
      <c r="B53" s="418">
        <f>IF(A50="Dapatkan Margin %",
   ((B52-B51)/B52),
 IF(A50="Dapatkan Kos",
   B51*(1-B52),
 IF(A50="Dapatkan Harga Jual",
   B51/(1-B52),
 "")))</f>
        <v>-0.22152968121370828</v>
      </c>
      <c r="D53" s="5" t="str">
        <f>IFERROR(INDEX(#REF!, MATCH(TRIM(Enginuity!$A$19),#REF!, 0)), "")</f>
        <v/>
      </c>
      <c r="F53" s="6"/>
    </row>
    <row r="54" spans="1:16">
      <c r="A54" s="5"/>
      <c r="F54" s="6"/>
    </row>
    <row r="55" spans="1:16">
      <c r="A55" s="5"/>
      <c r="F55" s="6"/>
    </row>
    <row r="56" spans="1:16">
      <c r="A56" s="5"/>
      <c r="F56" s="6"/>
    </row>
    <row r="57" spans="1:16">
      <c r="A57" s="5"/>
      <c r="F57" s="6"/>
    </row>
    <row r="58" spans="1:16">
      <c r="A58" s="5"/>
      <c r="F58" s="6"/>
    </row>
    <row r="59" spans="1:16">
      <c r="A59" s="5"/>
      <c r="F59" s="6"/>
    </row>
    <row r="60" spans="1:16">
      <c r="A60" s="5"/>
      <c r="F60" s="6"/>
    </row>
    <row r="61" spans="1:16">
      <c r="A61" s="5"/>
      <c r="F61" s="6"/>
    </row>
    <row r="62" spans="1:16">
      <c r="A62" s="78"/>
      <c r="F62" s="6"/>
    </row>
    <row r="63" spans="1:16">
      <c r="A63" s="113"/>
      <c r="F63" s="6"/>
    </row>
    <row r="64" spans="1:16">
      <c r="A64" s="78"/>
      <c r="F64" s="6"/>
    </row>
    <row r="65" spans="1:6">
      <c r="A65" s="78"/>
      <c r="F65" s="6"/>
    </row>
    <row r="66" spans="1:6">
      <c r="A66" s="78"/>
      <c r="F66" s="6"/>
    </row>
    <row r="67" spans="1:6">
      <c r="A67" s="78"/>
      <c r="F67" s="6"/>
    </row>
    <row r="68" spans="1:6">
      <c r="F68" s="6"/>
    </row>
    <row r="69" spans="1:6">
      <c r="F69" s="6"/>
    </row>
    <row r="70" spans="1:6">
      <c r="F70" s="6"/>
    </row>
    <row r="71" spans="1:6">
      <c r="F71" s="6"/>
    </row>
    <row r="72" spans="1:6">
      <c r="F72" s="6"/>
    </row>
    <row r="73" spans="1:6">
      <c r="F73" s="6"/>
    </row>
    <row r="74" spans="1:6">
      <c r="F74" s="6"/>
    </row>
    <row r="75" spans="1:6">
      <c r="F75" s="6"/>
    </row>
    <row r="76" spans="1:6">
      <c r="F76" s="6"/>
    </row>
    <row r="77" spans="1:6">
      <c r="F77" s="6"/>
    </row>
    <row r="78" spans="1:6">
      <c r="F78" s="6"/>
    </row>
    <row r="79" spans="1:6">
      <c r="F79" s="6"/>
    </row>
    <row r="80" spans="1:6">
      <c r="F80" s="6"/>
    </row>
    <row r="81" spans="6:6">
      <c r="F81" s="6"/>
    </row>
    <row r="82" spans="6:6">
      <c r="F82" s="6"/>
    </row>
    <row r="83" spans="6:6">
      <c r="F83" s="6"/>
    </row>
    <row r="84" spans="6:6">
      <c r="F84" s="6"/>
    </row>
    <row r="85" spans="6:6">
      <c r="F85" s="6"/>
    </row>
    <row r="86" spans="6:6">
      <c r="F86" s="6"/>
    </row>
    <row r="87" spans="6:6">
      <c r="F87" s="6"/>
    </row>
    <row r="88" spans="6:6">
      <c r="F88" s="6"/>
    </row>
    <row r="89" spans="6:6">
      <c r="F89" s="6"/>
    </row>
    <row r="90" spans="6:6">
      <c r="F90" s="6"/>
    </row>
    <row r="91" spans="6:6">
      <c r="F91" s="6"/>
    </row>
    <row r="92" spans="6:6">
      <c r="F92" s="6"/>
    </row>
    <row r="93" spans="6:6">
      <c r="F93" s="6"/>
    </row>
    <row r="94" spans="6:6">
      <c r="F94" s="6"/>
    </row>
    <row r="95" spans="6:6">
      <c r="F95" s="6"/>
    </row>
    <row r="96" spans="6:6">
      <c r="F96" s="6"/>
    </row>
    <row r="97" spans="6:6">
      <c r="F97" s="6"/>
    </row>
    <row r="98" spans="6:6">
      <c r="F98" s="6"/>
    </row>
    <row r="99" spans="6:6">
      <c r="F99" s="6"/>
    </row>
    <row r="100" spans="6:6">
      <c r="F100" s="6"/>
    </row>
    <row r="101" spans="6:6">
      <c r="F101" s="6"/>
    </row>
    <row r="102" spans="6:6">
      <c r="F102" s="6"/>
    </row>
    <row r="103" spans="6:6">
      <c r="F103" s="6"/>
    </row>
    <row r="104" spans="6:6">
      <c r="F104" s="6"/>
    </row>
    <row r="105" spans="6:6">
      <c r="F105" s="6"/>
    </row>
    <row r="106" spans="6:6">
      <c r="F106" s="6"/>
    </row>
    <row r="107" spans="6:6">
      <c r="F107" s="6"/>
    </row>
    <row r="108" spans="6:6">
      <c r="F108" s="6"/>
    </row>
    <row r="109" spans="6:6">
      <c r="F109" s="6"/>
    </row>
    <row r="110" spans="6:6">
      <c r="F110" s="6"/>
    </row>
    <row r="111" spans="6:6">
      <c r="F111" s="6"/>
    </row>
    <row r="112" spans="6:6">
      <c r="F112" s="6"/>
    </row>
    <row r="113" spans="6:6">
      <c r="F113" s="6"/>
    </row>
    <row r="114" spans="6:6">
      <c r="F114" s="6"/>
    </row>
    <row r="115" spans="6:6">
      <c r="F115" s="6"/>
    </row>
    <row r="116" spans="6:6">
      <c r="F116" s="6"/>
    </row>
    <row r="117" spans="6:6">
      <c r="F117" s="6"/>
    </row>
    <row r="118" spans="6:6">
      <c r="F118" s="6"/>
    </row>
    <row r="119" spans="6:6">
      <c r="F119" s="6"/>
    </row>
    <row r="120" spans="6:6">
      <c r="F120" s="6"/>
    </row>
    <row r="121" spans="6:6">
      <c r="F121" s="6"/>
    </row>
    <row r="122" spans="6:6">
      <c r="F122" s="6"/>
    </row>
    <row r="123" spans="6:6">
      <c r="F123" s="6"/>
    </row>
    <row r="124" spans="6:6">
      <c r="F124" s="6"/>
    </row>
    <row r="125" spans="6:6">
      <c r="F125" s="6"/>
    </row>
    <row r="126" spans="6:6">
      <c r="F126" s="6"/>
    </row>
    <row r="127" spans="6:6">
      <c r="F127" s="6"/>
    </row>
    <row r="128" spans="6:6">
      <c r="F128" s="6"/>
    </row>
    <row r="129" spans="6:6">
      <c r="F129" s="6"/>
    </row>
    <row r="130" spans="6:6">
      <c r="F130" s="6"/>
    </row>
    <row r="131" spans="6:6">
      <c r="F131" s="6"/>
    </row>
    <row r="132" spans="6:6">
      <c r="F132" s="6"/>
    </row>
    <row r="133" spans="6:6">
      <c r="F133" s="6"/>
    </row>
    <row r="134" spans="6:6">
      <c r="F134" s="6"/>
    </row>
    <row r="135" spans="6:6">
      <c r="F135" s="6"/>
    </row>
    <row r="136" spans="6:6">
      <c r="F136" s="6"/>
    </row>
    <row r="137" spans="6:6">
      <c r="F137" s="6"/>
    </row>
    <row r="138" spans="6:6">
      <c r="F138" s="6"/>
    </row>
    <row r="139" spans="6:6">
      <c r="F139" s="6"/>
    </row>
    <row r="140" spans="6:6">
      <c r="F140" s="6"/>
    </row>
    <row r="141" spans="6:6">
      <c r="F141" s="6"/>
    </row>
    <row r="142" spans="6:6">
      <c r="F142" s="6"/>
    </row>
    <row r="143" spans="6:6">
      <c r="F143" s="6"/>
    </row>
    <row r="144" spans="6:6">
      <c r="F144" s="6"/>
    </row>
    <row r="145" spans="6:6">
      <c r="F145" s="6"/>
    </row>
    <row r="146" spans="6:6">
      <c r="F146" s="6"/>
    </row>
    <row r="147" spans="6:6">
      <c r="F147" s="6"/>
    </row>
    <row r="148" spans="6:6">
      <c r="F148" s="6"/>
    </row>
    <row r="149" spans="6:6">
      <c r="F149" s="6"/>
    </row>
    <row r="150" spans="6:6">
      <c r="F150" s="6"/>
    </row>
    <row r="151" spans="6:6">
      <c r="F151" s="6"/>
    </row>
    <row r="152" spans="6:6">
      <c r="F152" s="6"/>
    </row>
    <row r="153" spans="6:6">
      <c r="F153" s="6"/>
    </row>
    <row r="154" spans="6:6">
      <c r="F154" s="6"/>
    </row>
    <row r="155" spans="6:6">
      <c r="F155" s="6"/>
    </row>
    <row r="156" spans="6:6">
      <c r="F156" s="6"/>
    </row>
    <row r="157" spans="6:6">
      <c r="F157" s="6"/>
    </row>
    <row r="158" spans="6:6">
      <c r="F158" s="6"/>
    </row>
    <row r="159" spans="6:6">
      <c r="F159" s="6"/>
    </row>
    <row r="160" spans="6:6">
      <c r="F160" s="6"/>
    </row>
    <row r="161" spans="6:6">
      <c r="F161" s="6"/>
    </row>
    <row r="162" spans="6:6">
      <c r="F162" s="6"/>
    </row>
    <row r="163" spans="6:6">
      <c r="F163" s="6"/>
    </row>
    <row r="164" spans="6:6">
      <c r="F164" s="6"/>
    </row>
    <row r="165" spans="6:6">
      <c r="F165" s="6"/>
    </row>
    <row r="166" spans="6:6">
      <c r="F166" s="6"/>
    </row>
    <row r="167" spans="6:6">
      <c r="F167" s="6"/>
    </row>
    <row r="168" spans="6:6">
      <c r="F168" s="6"/>
    </row>
    <row r="169" spans="6:6">
      <c r="F169" s="6"/>
    </row>
    <row r="170" spans="6:6">
      <c r="F170" s="6"/>
    </row>
    <row r="171" spans="6:6">
      <c r="F171" s="6"/>
    </row>
    <row r="172" spans="6:6">
      <c r="F172" s="6"/>
    </row>
    <row r="173" spans="6:6">
      <c r="F173" s="6"/>
    </row>
    <row r="174" spans="6:6">
      <c r="F174" s="6"/>
    </row>
    <row r="175" spans="6:6">
      <c r="F175" s="6"/>
    </row>
    <row r="176" spans="6:6">
      <c r="F176" s="6"/>
    </row>
    <row r="177" spans="6:6">
      <c r="F177" s="6"/>
    </row>
    <row r="178" spans="6:6">
      <c r="F178" s="6"/>
    </row>
    <row r="179" spans="6:6">
      <c r="F179" s="6"/>
    </row>
    <row r="180" spans="6:6">
      <c r="F180" s="6"/>
    </row>
    <row r="181" spans="6:6">
      <c r="F181" s="6"/>
    </row>
    <row r="182" spans="6:6">
      <c r="F182" s="6"/>
    </row>
    <row r="183" spans="6:6">
      <c r="F183" s="6"/>
    </row>
    <row r="184" spans="6:6">
      <c r="F184" s="6"/>
    </row>
    <row r="185" spans="6:6">
      <c r="F185" s="6"/>
    </row>
    <row r="186" spans="6:6">
      <c r="F186" s="6"/>
    </row>
    <row r="187" spans="6:6">
      <c r="F187" s="6"/>
    </row>
    <row r="188" spans="6:6">
      <c r="F188" s="6"/>
    </row>
    <row r="189" spans="6:6">
      <c r="F189" s="6"/>
    </row>
    <row r="190" spans="6:6">
      <c r="F190" s="6"/>
    </row>
    <row r="191" spans="6:6">
      <c r="F191" s="6"/>
    </row>
    <row r="192" spans="6:6">
      <c r="F192" s="6"/>
    </row>
    <row r="193" spans="6:6">
      <c r="F193" s="6"/>
    </row>
    <row r="194" spans="6:6">
      <c r="F194" s="6"/>
    </row>
    <row r="195" spans="6:6">
      <c r="F195" s="6"/>
    </row>
    <row r="196" spans="6:6">
      <c r="F196" s="6"/>
    </row>
    <row r="197" spans="6:6">
      <c r="F197" s="6"/>
    </row>
    <row r="198" spans="6:6">
      <c r="F198" s="6"/>
    </row>
    <row r="199" spans="6:6">
      <c r="F199" s="6"/>
    </row>
    <row r="200" spans="6:6">
      <c r="F200" s="6"/>
    </row>
    <row r="201" spans="6:6">
      <c r="F201" s="6"/>
    </row>
    <row r="202" spans="6:6">
      <c r="F202" s="6"/>
    </row>
    <row r="203" spans="6:6">
      <c r="F203" s="6"/>
    </row>
    <row r="204" spans="6:6">
      <c r="F204" s="6"/>
    </row>
    <row r="205" spans="6:6">
      <c r="F205" s="6"/>
    </row>
    <row r="206" spans="6:6">
      <c r="F206" s="6"/>
    </row>
    <row r="207" spans="6:6">
      <c r="F207" s="6"/>
    </row>
    <row r="208" spans="6:6">
      <c r="F208" s="6"/>
    </row>
    <row r="209" spans="6:6">
      <c r="F209" s="6"/>
    </row>
    <row r="210" spans="6:6">
      <c r="F210" s="6"/>
    </row>
    <row r="211" spans="6:6">
      <c r="F211" s="6"/>
    </row>
    <row r="212" spans="6:6">
      <c r="F212" s="6"/>
    </row>
    <row r="213" spans="6:6">
      <c r="F213" s="6"/>
    </row>
    <row r="214" spans="6:6">
      <c r="F214" s="6"/>
    </row>
    <row r="215" spans="6:6">
      <c r="F215" s="6"/>
    </row>
    <row r="216" spans="6:6">
      <c r="F216" s="6"/>
    </row>
    <row r="217" spans="6:6">
      <c r="F217" s="6"/>
    </row>
    <row r="218" spans="6:6">
      <c r="F218" s="6"/>
    </row>
    <row r="219" spans="6:6">
      <c r="F219" s="6"/>
    </row>
    <row r="220" spans="6:6">
      <c r="F220" s="6"/>
    </row>
    <row r="221" spans="6:6">
      <c r="F221" s="6"/>
    </row>
    <row r="222" spans="6:6">
      <c r="F222" s="6"/>
    </row>
    <row r="223" spans="6:6">
      <c r="F223" s="6"/>
    </row>
    <row r="224" spans="6:6">
      <c r="F224" s="6"/>
    </row>
    <row r="225" spans="6:6">
      <c r="F225" s="6"/>
    </row>
    <row r="226" spans="6:6">
      <c r="F226" s="6"/>
    </row>
    <row r="227" spans="6:6">
      <c r="F227" s="6"/>
    </row>
    <row r="228" spans="6:6">
      <c r="F228" s="6"/>
    </row>
    <row r="229" spans="6:6">
      <c r="F229" s="6"/>
    </row>
    <row r="230" spans="6:6">
      <c r="F230" s="6"/>
    </row>
    <row r="231" spans="6:6">
      <c r="F231" s="6"/>
    </row>
    <row r="232" spans="6:6">
      <c r="F232" s="6"/>
    </row>
    <row r="233" spans="6:6">
      <c r="F233" s="6"/>
    </row>
    <row r="234" spans="6:6">
      <c r="F234" s="6"/>
    </row>
    <row r="235" spans="6:6">
      <c r="F235" s="6"/>
    </row>
    <row r="236" spans="6:6">
      <c r="F236" s="6"/>
    </row>
    <row r="237" spans="6:6">
      <c r="F237" s="6"/>
    </row>
    <row r="238" spans="6:6">
      <c r="F238" s="6"/>
    </row>
    <row r="239" spans="6:6">
      <c r="F239" s="6"/>
    </row>
    <row r="240" spans="6:6">
      <c r="F240" s="6"/>
    </row>
    <row r="241" spans="6:6">
      <c r="F241" s="6"/>
    </row>
    <row r="242" spans="6:6">
      <c r="F242" s="6"/>
    </row>
    <row r="243" spans="6:6">
      <c r="F243" s="6"/>
    </row>
    <row r="244" spans="6:6">
      <c r="F244" s="6"/>
    </row>
    <row r="245" spans="6:6">
      <c r="F245" s="6"/>
    </row>
    <row r="246" spans="6:6">
      <c r="F246" s="6"/>
    </row>
    <row r="247" spans="6:6">
      <c r="F247" s="6"/>
    </row>
    <row r="248" spans="6:6">
      <c r="F248" s="6"/>
    </row>
    <row r="249" spans="6:6">
      <c r="F249" s="6"/>
    </row>
    <row r="250" spans="6:6">
      <c r="F250" s="6"/>
    </row>
    <row r="251" spans="6:6">
      <c r="F251" s="6"/>
    </row>
    <row r="252" spans="6:6">
      <c r="F252" s="6"/>
    </row>
    <row r="253" spans="6:6">
      <c r="F253" s="6"/>
    </row>
    <row r="254" spans="6:6">
      <c r="F254" s="6"/>
    </row>
    <row r="255" spans="6:6">
      <c r="F255" s="6"/>
    </row>
    <row r="256" spans="6:6">
      <c r="F256" s="6"/>
    </row>
    <row r="257" spans="6:6">
      <c r="F257" s="6"/>
    </row>
    <row r="258" spans="6:6">
      <c r="F258" s="6"/>
    </row>
    <row r="259" spans="6:6">
      <c r="F259" s="6"/>
    </row>
    <row r="260" spans="6:6">
      <c r="F260" s="6"/>
    </row>
    <row r="261" spans="6:6">
      <c r="F261" s="6"/>
    </row>
    <row r="262" spans="6:6">
      <c r="F262" s="6"/>
    </row>
    <row r="263" spans="6:6">
      <c r="F263" s="6"/>
    </row>
    <row r="264" spans="6:6">
      <c r="F264" s="6"/>
    </row>
    <row r="265" spans="6:6">
      <c r="F265" s="6"/>
    </row>
    <row r="266" spans="6:6">
      <c r="F266" s="6"/>
    </row>
    <row r="267" spans="6:6">
      <c r="F267" s="6"/>
    </row>
    <row r="268" spans="6:6">
      <c r="F268" s="6"/>
    </row>
    <row r="269" spans="6:6">
      <c r="F269" s="6"/>
    </row>
    <row r="270" spans="6:6">
      <c r="F270" s="6"/>
    </row>
    <row r="271" spans="6:6">
      <c r="F271" s="6"/>
    </row>
    <row r="272" spans="6:6">
      <c r="F272" s="6"/>
    </row>
    <row r="273" spans="6:6">
      <c r="F273" s="6"/>
    </row>
    <row r="274" spans="6:6">
      <c r="F274" s="6"/>
    </row>
    <row r="275" spans="6:6">
      <c r="F275" s="6"/>
    </row>
    <row r="276" spans="6:6">
      <c r="F276" s="6"/>
    </row>
    <row r="277" spans="6:6">
      <c r="F277" s="6"/>
    </row>
    <row r="278" spans="6:6">
      <c r="F278" s="6"/>
    </row>
    <row r="279" spans="6:6">
      <c r="F279" s="6"/>
    </row>
    <row r="280" spans="6:6">
      <c r="F280" s="6"/>
    </row>
    <row r="281" spans="6:6">
      <c r="F281" s="6"/>
    </row>
    <row r="282" spans="6:6">
      <c r="F282" s="6"/>
    </row>
    <row r="283" spans="6:6">
      <c r="F283" s="6"/>
    </row>
    <row r="284" spans="6:6">
      <c r="F284" s="6"/>
    </row>
    <row r="285" spans="6:6">
      <c r="F285" s="6"/>
    </row>
    <row r="286" spans="6:6">
      <c r="F286" s="6"/>
    </row>
    <row r="287" spans="6:6">
      <c r="F287" s="6"/>
    </row>
    <row r="288" spans="6:6">
      <c r="F288" s="6"/>
    </row>
    <row r="289" spans="6:6">
      <c r="F289" s="6"/>
    </row>
    <row r="290" spans="6:6">
      <c r="F290" s="6"/>
    </row>
    <row r="291" spans="6:6">
      <c r="F291" s="6"/>
    </row>
    <row r="292" spans="6:6">
      <c r="F292" s="6"/>
    </row>
    <row r="293" spans="6:6">
      <c r="F293" s="6"/>
    </row>
    <row r="294" spans="6:6">
      <c r="F294" s="6"/>
    </row>
    <row r="295" spans="6:6">
      <c r="F295" s="6"/>
    </row>
    <row r="296" spans="6:6">
      <c r="F296" s="6"/>
    </row>
    <row r="297" spans="6:6">
      <c r="F297" s="6"/>
    </row>
    <row r="298" spans="6:6">
      <c r="F298" s="6"/>
    </row>
    <row r="299" spans="6:6">
      <c r="F299" s="6"/>
    </row>
    <row r="300" spans="6:6">
      <c r="F300" s="6"/>
    </row>
    <row r="301" spans="6:6">
      <c r="F301" s="6"/>
    </row>
    <row r="302" spans="6:6">
      <c r="F302" s="6"/>
    </row>
    <row r="303" spans="6:6">
      <c r="F303" s="6"/>
    </row>
    <row r="304" spans="6:6">
      <c r="F304" s="6"/>
    </row>
    <row r="305" spans="6:6">
      <c r="F305" s="6"/>
    </row>
    <row r="306" spans="6:6">
      <c r="F306" s="6"/>
    </row>
    <row r="307" spans="6:6">
      <c r="F307" s="6"/>
    </row>
    <row r="308" spans="6:6">
      <c r="F308" s="6"/>
    </row>
    <row r="309" spans="6:6">
      <c r="F309" s="6"/>
    </row>
    <row r="310" spans="6:6">
      <c r="F310" s="6"/>
    </row>
    <row r="311" spans="6:6">
      <c r="F311" s="6"/>
    </row>
    <row r="312" spans="6:6">
      <c r="F312" s="6"/>
    </row>
    <row r="313" spans="6:6">
      <c r="F313" s="6"/>
    </row>
    <row r="314" spans="6:6">
      <c r="F314" s="6"/>
    </row>
    <row r="315" spans="6:6">
      <c r="F315" s="6"/>
    </row>
    <row r="316" spans="6:6">
      <c r="F316" s="6"/>
    </row>
    <row r="317" spans="6:6">
      <c r="F317" s="6"/>
    </row>
    <row r="318" spans="6:6">
      <c r="F318" s="6"/>
    </row>
    <row r="319" spans="6:6">
      <c r="F319" s="6"/>
    </row>
    <row r="320" spans="6:6">
      <c r="F320" s="6"/>
    </row>
    <row r="321" spans="6:6">
      <c r="F321" s="6"/>
    </row>
    <row r="322" spans="6:6">
      <c r="F322" s="6"/>
    </row>
    <row r="323" spans="6:6">
      <c r="F323" s="6"/>
    </row>
    <row r="324" spans="6:6">
      <c r="F324" s="6"/>
    </row>
    <row r="325" spans="6:6">
      <c r="F325" s="6"/>
    </row>
    <row r="326" spans="6:6">
      <c r="F326" s="6"/>
    </row>
    <row r="327" spans="6:6">
      <c r="F327" s="6"/>
    </row>
    <row r="328" spans="6:6">
      <c r="F328" s="6"/>
    </row>
    <row r="329" spans="6:6">
      <c r="F329" s="6"/>
    </row>
    <row r="330" spans="6:6">
      <c r="F330" s="6"/>
    </row>
    <row r="331" spans="6:6">
      <c r="F331" s="6"/>
    </row>
    <row r="332" spans="6:6">
      <c r="F332" s="6"/>
    </row>
    <row r="333" spans="6:6">
      <c r="F333" s="6"/>
    </row>
    <row r="334" spans="6:6">
      <c r="F334" s="6"/>
    </row>
    <row r="335" spans="6:6">
      <c r="F335" s="6"/>
    </row>
    <row r="336" spans="6:6">
      <c r="F336" s="6"/>
    </row>
    <row r="337" spans="6:6">
      <c r="F337" s="6"/>
    </row>
    <row r="338" spans="6:6">
      <c r="F338" s="6"/>
    </row>
    <row r="339" spans="6:6">
      <c r="F339" s="6"/>
    </row>
    <row r="340" spans="6:6">
      <c r="F340" s="6"/>
    </row>
    <row r="341" spans="6:6">
      <c r="F341" s="6"/>
    </row>
    <row r="342" spans="6:6">
      <c r="F342" s="6"/>
    </row>
    <row r="343" spans="6:6">
      <c r="F343" s="6"/>
    </row>
    <row r="344" spans="6:6">
      <c r="F344" s="6"/>
    </row>
    <row r="345" spans="6:6">
      <c r="F345" s="6"/>
    </row>
    <row r="346" spans="6:6">
      <c r="F346" s="6"/>
    </row>
    <row r="347" spans="6:6">
      <c r="F347" s="6"/>
    </row>
    <row r="348" spans="6:6">
      <c r="F348" s="6"/>
    </row>
    <row r="349" spans="6:6">
      <c r="F349" s="6"/>
    </row>
    <row r="350" spans="6:6">
      <c r="F350" s="6"/>
    </row>
    <row r="351" spans="6:6">
      <c r="F351" s="6"/>
    </row>
    <row r="352" spans="6:6">
      <c r="F352" s="6"/>
    </row>
    <row r="353" spans="6:6">
      <c r="F353" s="6"/>
    </row>
    <row r="354" spans="6:6">
      <c r="F354" s="6"/>
    </row>
    <row r="355" spans="6:6">
      <c r="F355" s="6"/>
    </row>
    <row r="356" spans="6:6">
      <c r="F356" s="6"/>
    </row>
    <row r="357" spans="6:6">
      <c r="F357" s="6"/>
    </row>
    <row r="358" spans="6:6">
      <c r="F358" s="6"/>
    </row>
    <row r="359" spans="6:6">
      <c r="F359" s="6"/>
    </row>
    <row r="360" spans="6:6">
      <c r="F360" s="6"/>
    </row>
    <row r="361" spans="6:6">
      <c r="F361" s="6"/>
    </row>
    <row r="362" spans="6:6">
      <c r="F362" s="6"/>
    </row>
    <row r="363" spans="6:6">
      <c r="F363" s="6"/>
    </row>
    <row r="364" spans="6:6">
      <c r="F364" s="6"/>
    </row>
    <row r="365" spans="6:6">
      <c r="F365" s="6"/>
    </row>
    <row r="366" spans="6:6">
      <c r="F366" s="6"/>
    </row>
    <row r="367" spans="6:6">
      <c r="F367" s="6"/>
    </row>
    <row r="368" spans="6:6">
      <c r="F368" s="6"/>
    </row>
    <row r="369" spans="6:6">
      <c r="F369" s="6"/>
    </row>
    <row r="370" spans="6:6">
      <c r="F370" s="6"/>
    </row>
    <row r="371" spans="6:6">
      <c r="F371" s="6"/>
    </row>
    <row r="372" spans="6:6">
      <c r="F372" s="6"/>
    </row>
    <row r="373" spans="6:6">
      <c r="F373" s="6"/>
    </row>
    <row r="374" spans="6:6">
      <c r="F374" s="6"/>
    </row>
    <row r="375" spans="6:6">
      <c r="F375" s="6"/>
    </row>
    <row r="376" spans="6:6">
      <c r="F376" s="6"/>
    </row>
    <row r="377" spans="6:6">
      <c r="F377" s="6"/>
    </row>
    <row r="378" spans="6:6">
      <c r="F378" s="6"/>
    </row>
    <row r="379" spans="6:6">
      <c r="F379" s="6"/>
    </row>
    <row r="380" spans="6:6">
      <c r="F380" s="6"/>
    </row>
    <row r="381" spans="6:6">
      <c r="F381" s="6"/>
    </row>
    <row r="382" spans="6:6">
      <c r="F382" s="6"/>
    </row>
    <row r="383" spans="6:6">
      <c r="F383" s="6"/>
    </row>
    <row r="384" spans="6:6">
      <c r="F384" s="6"/>
    </row>
    <row r="385" spans="6:6">
      <c r="F385" s="6"/>
    </row>
    <row r="386" spans="6:6">
      <c r="F386" s="6"/>
    </row>
    <row r="387" spans="6:6">
      <c r="F387" s="6"/>
    </row>
    <row r="388" spans="6:6">
      <c r="F388" s="6"/>
    </row>
    <row r="389" spans="6:6">
      <c r="F389" s="6"/>
    </row>
    <row r="390" spans="6:6">
      <c r="F390" s="6"/>
    </row>
    <row r="391" spans="6:6">
      <c r="F391" s="6"/>
    </row>
    <row r="392" spans="6:6">
      <c r="F392" s="6"/>
    </row>
    <row r="393" spans="6:6">
      <c r="F393" s="6"/>
    </row>
    <row r="394" spans="6:6">
      <c r="F394" s="6"/>
    </row>
    <row r="395" spans="6:6">
      <c r="F395" s="6"/>
    </row>
    <row r="396" spans="6:6">
      <c r="F396" s="6"/>
    </row>
    <row r="397" spans="6:6">
      <c r="F397" s="6"/>
    </row>
    <row r="398" spans="6:6">
      <c r="F398" s="6"/>
    </row>
    <row r="399" spans="6:6">
      <c r="F399" s="6"/>
    </row>
    <row r="400" spans="6:6">
      <c r="F400" s="6"/>
    </row>
    <row r="401" spans="6:6">
      <c r="F401" s="6"/>
    </row>
    <row r="402" spans="6:6">
      <c r="F402" s="6"/>
    </row>
    <row r="403" spans="6:6">
      <c r="F403" s="6"/>
    </row>
    <row r="404" spans="6:6">
      <c r="F404" s="6"/>
    </row>
    <row r="405" spans="6:6">
      <c r="F405" s="6"/>
    </row>
    <row r="406" spans="6:6">
      <c r="F406" s="6"/>
    </row>
    <row r="407" spans="6:6">
      <c r="F407" s="6"/>
    </row>
    <row r="408" spans="6:6">
      <c r="F408" s="6"/>
    </row>
    <row r="409" spans="6:6">
      <c r="F409" s="6"/>
    </row>
    <row r="410" spans="6:6">
      <c r="F410" s="6"/>
    </row>
    <row r="411" spans="6:6">
      <c r="F411" s="6"/>
    </row>
    <row r="412" spans="6:6">
      <c r="F412" s="6"/>
    </row>
    <row r="413" spans="6:6">
      <c r="F413" s="6"/>
    </row>
    <row r="414" spans="6:6">
      <c r="F414" s="6"/>
    </row>
    <row r="415" spans="6:6">
      <c r="F415" s="6"/>
    </row>
    <row r="416" spans="6:6">
      <c r="F416" s="6"/>
    </row>
    <row r="417" spans="6:6">
      <c r="F417" s="6"/>
    </row>
    <row r="418" spans="6:6">
      <c r="F418" s="6"/>
    </row>
    <row r="419" spans="6:6">
      <c r="F419" s="6"/>
    </row>
    <row r="420" spans="6:6">
      <c r="F420" s="6"/>
    </row>
    <row r="421" spans="6:6">
      <c r="F421" s="6"/>
    </row>
    <row r="422" spans="6:6">
      <c r="F422" s="6"/>
    </row>
    <row r="423" spans="6:6">
      <c r="F423" s="6"/>
    </row>
    <row r="424" spans="6:6">
      <c r="F424" s="6"/>
    </row>
    <row r="425" spans="6:6">
      <c r="F425" s="6"/>
    </row>
    <row r="426" spans="6:6">
      <c r="F426" s="6"/>
    </row>
    <row r="427" spans="6:6">
      <c r="F427" s="6"/>
    </row>
    <row r="428" spans="6:6">
      <c r="F428" s="6"/>
    </row>
    <row r="429" spans="6:6">
      <c r="F429" s="6"/>
    </row>
    <row r="430" spans="6:6">
      <c r="F430" s="6"/>
    </row>
    <row r="431" spans="6:6">
      <c r="F431" s="6"/>
    </row>
    <row r="432" spans="6:6">
      <c r="F432" s="6"/>
    </row>
    <row r="433" spans="6:6">
      <c r="F433" s="6"/>
    </row>
    <row r="434" spans="6:6">
      <c r="F434" s="6"/>
    </row>
    <row r="435" spans="6:6">
      <c r="F435" s="6"/>
    </row>
    <row r="436" spans="6:6">
      <c r="F436" s="6"/>
    </row>
    <row r="437" spans="6:6">
      <c r="F437" s="6"/>
    </row>
    <row r="438" spans="6:6">
      <c r="F438" s="6"/>
    </row>
    <row r="439" spans="6:6">
      <c r="F439" s="6"/>
    </row>
    <row r="440" spans="6:6">
      <c r="F440" s="6"/>
    </row>
    <row r="441" spans="6:6">
      <c r="F441" s="6"/>
    </row>
    <row r="442" spans="6:6">
      <c r="F442" s="6"/>
    </row>
    <row r="443" spans="6:6">
      <c r="F443" s="6"/>
    </row>
    <row r="444" spans="6:6">
      <c r="F444" s="6"/>
    </row>
    <row r="445" spans="6:6">
      <c r="F445" s="6"/>
    </row>
    <row r="446" spans="6:6">
      <c r="F446" s="6"/>
    </row>
    <row r="447" spans="6:6">
      <c r="F447" s="6"/>
    </row>
    <row r="448" spans="6:6">
      <c r="F448" s="6"/>
    </row>
    <row r="449" spans="6:6">
      <c r="F449" s="6"/>
    </row>
    <row r="450" spans="6:6">
      <c r="F450" s="6"/>
    </row>
    <row r="451" spans="6:6">
      <c r="F451" s="6"/>
    </row>
    <row r="452" spans="6:6">
      <c r="F452" s="6"/>
    </row>
    <row r="453" spans="6:6">
      <c r="F453" s="6"/>
    </row>
    <row r="454" spans="6:6">
      <c r="F454" s="6"/>
    </row>
    <row r="455" spans="6:6">
      <c r="F455" s="6"/>
    </row>
    <row r="456" spans="6:6">
      <c r="F456" s="6"/>
    </row>
    <row r="457" spans="6:6">
      <c r="F457" s="6"/>
    </row>
    <row r="458" spans="6:6">
      <c r="F458" s="6"/>
    </row>
    <row r="459" spans="6:6">
      <c r="F459" s="6"/>
    </row>
    <row r="460" spans="6:6">
      <c r="F460" s="6"/>
    </row>
    <row r="461" spans="6:6">
      <c r="F461" s="6"/>
    </row>
    <row r="462" spans="6:6">
      <c r="F462" s="6"/>
    </row>
    <row r="463" spans="6:6">
      <c r="F463" s="6"/>
    </row>
    <row r="464" spans="6:6">
      <c r="F464" s="6"/>
    </row>
    <row r="465" spans="6:6">
      <c r="F465" s="6"/>
    </row>
    <row r="466" spans="6:6">
      <c r="F466" s="6"/>
    </row>
    <row r="467" spans="6:6">
      <c r="F467" s="6"/>
    </row>
    <row r="468" spans="6:6">
      <c r="F468" s="6"/>
    </row>
    <row r="469" spans="6:6">
      <c r="F469" s="6"/>
    </row>
    <row r="470" spans="6:6">
      <c r="F470" s="6"/>
    </row>
    <row r="471" spans="6:6">
      <c r="F471" s="6"/>
    </row>
    <row r="472" spans="6:6">
      <c r="F472" s="6"/>
    </row>
    <row r="473" spans="6:6">
      <c r="F473" s="6"/>
    </row>
    <row r="474" spans="6:6">
      <c r="F474" s="6"/>
    </row>
    <row r="475" spans="6:6">
      <c r="F475" s="6"/>
    </row>
    <row r="476" spans="6:6">
      <c r="F476" s="6"/>
    </row>
    <row r="477" spans="6:6">
      <c r="F477" s="6"/>
    </row>
    <row r="478" spans="6:6">
      <c r="F478" s="6"/>
    </row>
    <row r="479" spans="6:6">
      <c r="F479" s="6"/>
    </row>
    <row r="480" spans="6:6">
      <c r="F480" s="6"/>
    </row>
    <row r="481" spans="3:17">
      <c r="C481" t="s">
        <v>173</v>
      </c>
      <c r="F481" s="6"/>
    </row>
    <row r="482" spans="3:17">
      <c r="F482" s="6"/>
    </row>
    <row r="483" spans="3:17">
      <c r="F483" s="6"/>
    </row>
    <row r="484" spans="3:17">
      <c r="F484" s="6"/>
    </row>
    <row r="485" spans="3:17">
      <c r="F485" s="6"/>
    </row>
    <row r="486" spans="3:17">
      <c r="F486" s="6"/>
    </row>
    <row r="487" spans="3:17">
      <c r="F487" s="6"/>
    </row>
    <row r="488" spans="3:17">
      <c r="F488" s="6"/>
    </row>
    <row r="489" spans="3:17">
      <c r="F489" s="6"/>
    </row>
    <row r="490" spans="3:17">
      <c r="F490" s="6"/>
    </row>
    <row r="491" spans="3:17">
      <c r="F491" s="6"/>
    </row>
    <row r="492" spans="3:17">
      <c r="C492" t="s">
        <v>173</v>
      </c>
      <c r="F492" s="6"/>
    </row>
    <row r="493" spans="3:17">
      <c r="C493" t="s">
        <v>173</v>
      </c>
      <c r="F493" s="6"/>
    </row>
    <row r="494" spans="3:17">
      <c r="C494" t="s">
        <v>173</v>
      </c>
      <c r="F494" s="6"/>
      <c r="Q494">
        <f>ROUNDUP(Enginuity!B6 * 304.8 / Enginuity!B15, 0) * 2</f>
        <v>8</v>
      </c>
    </row>
    <row r="495" spans="3:17">
      <c r="C495" t="s">
        <v>173</v>
      </c>
      <c r="F495" s="6"/>
    </row>
    <row r="496" spans="3:17">
      <c r="C496" t="s">
        <v>173</v>
      </c>
      <c r="F496" s="6"/>
    </row>
    <row r="497" spans="3:17">
      <c r="C497" t="s">
        <v>173</v>
      </c>
      <c r="F497" s="6"/>
      <c r="Q497">
        <f>ROUNDUP(Enginuity!B6 * 304.8 / Enginuity!B15, 0) * 8</f>
        <v>32</v>
      </c>
    </row>
    <row r="498" spans="3:17">
      <c r="C498" t="s">
        <v>173</v>
      </c>
      <c r="F498" s="6"/>
    </row>
    <row r="499" spans="3:17">
      <c r="F499" s="6"/>
    </row>
    <row r="500" spans="3:17">
      <c r="F500" s="6"/>
    </row>
    <row r="501" spans="3:17">
      <c r="F501" s="6"/>
    </row>
    <row r="502" spans="3:17">
      <c r="F502" s="6"/>
    </row>
    <row r="503" spans="3:17">
      <c r="F503" s="6"/>
    </row>
    <row r="504" spans="3:17">
      <c r="F504" s="6"/>
    </row>
    <row r="505" spans="3:17">
      <c r="F505" s="6"/>
    </row>
    <row r="506" spans="3:17">
      <c r="F506" s="6"/>
    </row>
    <row r="507" spans="3:17">
      <c r="F507" s="6"/>
    </row>
    <row r="508" spans="3:17">
      <c r="F508" s="6"/>
    </row>
    <row r="509" spans="3:17">
      <c r="F509" s="6"/>
    </row>
    <row r="510" spans="3:17">
      <c r="F510" s="6"/>
    </row>
    <row r="511" spans="3:17">
      <c r="F511" s="6"/>
    </row>
    <row r="512" spans="3:17">
      <c r="F512" s="6"/>
    </row>
    <row r="513" spans="6:6">
      <c r="F513" s="6"/>
    </row>
    <row r="514" spans="6:6">
      <c r="F514" s="6"/>
    </row>
    <row r="515" spans="6:6">
      <c r="F515" s="6"/>
    </row>
    <row r="516" spans="6:6">
      <c r="F516" s="6"/>
    </row>
    <row r="517" spans="6:6">
      <c r="F517" s="6"/>
    </row>
    <row r="518" spans="6:6">
      <c r="F518" s="6"/>
    </row>
    <row r="519" spans="6:6">
      <c r="F519" s="6"/>
    </row>
    <row r="520" spans="6:6">
      <c r="F520" s="6"/>
    </row>
    <row r="521" spans="6:6">
      <c r="F521" s="6"/>
    </row>
    <row r="522" spans="6:6">
      <c r="F522" s="6"/>
    </row>
    <row r="523" spans="6:6">
      <c r="F523" s="6"/>
    </row>
    <row r="524" spans="6:6">
      <c r="F524" s="6"/>
    </row>
    <row r="525" spans="6:6">
      <c r="F525" s="6"/>
    </row>
    <row r="526" spans="6:6">
      <c r="F526" s="6"/>
    </row>
    <row r="527" spans="6:6">
      <c r="F527" s="6"/>
    </row>
    <row r="528" spans="6:6">
      <c r="F528" s="6"/>
    </row>
    <row r="529" spans="6:6">
      <c r="F529" s="6"/>
    </row>
    <row r="530" spans="6:6">
      <c r="F530" s="6"/>
    </row>
    <row r="531" spans="6:6">
      <c r="F531" s="6"/>
    </row>
    <row r="532" spans="6:6">
      <c r="F532" s="6"/>
    </row>
    <row r="533" spans="6:6">
      <c r="F533" s="6"/>
    </row>
    <row r="534" spans="6:6">
      <c r="F534" s="6"/>
    </row>
    <row r="535" spans="6:6">
      <c r="F535" s="6"/>
    </row>
    <row r="536" spans="6:6">
      <c r="F536" s="6"/>
    </row>
    <row r="537" spans="6:6">
      <c r="F537" s="6"/>
    </row>
    <row r="538" spans="6:6">
      <c r="F538" s="6"/>
    </row>
    <row r="539" spans="6:6">
      <c r="F539" s="6"/>
    </row>
    <row r="540" spans="6:6">
      <c r="F540" s="6"/>
    </row>
    <row r="541" spans="6:6">
      <c r="F541" s="6"/>
    </row>
    <row r="542" spans="6:6">
      <c r="F542" s="6"/>
    </row>
    <row r="543" spans="6:6">
      <c r="F543" s="6"/>
    </row>
    <row r="544" spans="6:6">
      <c r="F544" s="6"/>
    </row>
    <row r="545" spans="6:6">
      <c r="F545" s="6"/>
    </row>
    <row r="546" spans="6:6">
      <c r="F546" s="6"/>
    </row>
    <row r="547" spans="6:6">
      <c r="F547" s="6"/>
    </row>
    <row r="548" spans="6:6">
      <c r="F548" s="6"/>
    </row>
    <row r="549" spans="6:6">
      <c r="F549" s="6"/>
    </row>
    <row r="550" spans="6:6">
      <c r="F550" s="6"/>
    </row>
    <row r="551" spans="6:6">
      <c r="F551" s="6"/>
    </row>
    <row r="552" spans="6:6">
      <c r="F552" s="6"/>
    </row>
    <row r="553" spans="6:6">
      <c r="F553" s="6"/>
    </row>
    <row r="554" spans="6:6">
      <c r="F554" s="6"/>
    </row>
    <row r="555" spans="6:6">
      <c r="F555" s="6"/>
    </row>
    <row r="556" spans="6:6">
      <c r="F556" s="6"/>
    </row>
    <row r="557" spans="6:6">
      <c r="F557" s="6"/>
    </row>
    <row r="558" spans="6:6">
      <c r="F558" s="6"/>
    </row>
    <row r="559" spans="6:6">
      <c r="F559" s="6"/>
    </row>
    <row r="560" spans="6:6">
      <c r="F560" s="6"/>
    </row>
    <row r="561" spans="6:6">
      <c r="F561" s="6"/>
    </row>
    <row r="562" spans="6:6">
      <c r="F562" s="6"/>
    </row>
    <row r="563" spans="6:6">
      <c r="F563" s="6"/>
    </row>
    <row r="564" spans="6:6">
      <c r="F564" s="6"/>
    </row>
    <row r="565" spans="6:6">
      <c r="F565" s="6"/>
    </row>
    <row r="566" spans="6:6">
      <c r="F566" s="6"/>
    </row>
    <row r="567" spans="6:6">
      <c r="F567" s="6"/>
    </row>
    <row r="568" spans="6:6">
      <c r="F568" s="6"/>
    </row>
    <row r="569" spans="6:6">
      <c r="F569" s="6"/>
    </row>
    <row r="570" spans="6:6">
      <c r="F570" s="6"/>
    </row>
    <row r="571" spans="6:6">
      <c r="F571" s="6"/>
    </row>
    <row r="572" spans="6:6">
      <c r="F572" s="6"/>
    </row>
    <row r="573" spans="6:6">
      <c r="F573" s="6"/>
    </row>
    <row r="574" spans="6:6">
      <c r="F574" s="6"/>
    </row>
    <row r="575" spans="6:6">
      <c r="F575" s="6"/>
    </row>
    <row r="576" spans="6:6">
      <c r="F576" s="6"/>
    </row>
    <row r="577" spans="6:6">
      <c r="F577" s="6"/>
    </row>
    <row r="578" spans="6:6">
      <c r="F578" s="6"/>
    </row>
    <row r="579" spans="6:6">
      <c r="F579" s="6"/>
    </row>
    <row r="580" spans="6:6">
      <c r="F580" s="6"/>
    </row>
    <row r="581" spans="6:6">
      <c r="F581" s="6"/>
    </row>
    <row r="582" spans="6:6">
      <c r="F582" s="6"/>
    </row>
    <row r="583" spans="6:6">
      <c r="F583" s="6"/>
    </row>
    <row r="584" spans="6:6">
      <c r="F584" s="6"/>
    </row>
    <row r="585" spans="6:6">
      <c r="F585" s="6"/>
    </row>
    <row r="586" spans="6:6">
      <c r="F586" s="6"/>
    </row>
    <row r="587" spans="6:6">
      <c r="F587" s="6"/>
    </row>
    <row r="588" spans="6:6">
      <c r="F588" s="6"/>
    </row>
    <row r="589" spans="6:6">
      <c r="F589" s="6"/>
    </row>
    <row r="590" spans="6:6">
      <c r="F590" s="6"/>
    </row>
    <row r="591" spans="6:6">
      <c r="F591" s="6"/>
    </row>
    <row r="592" spans="6:6">
      <c r="F592" s="6"/>
    </row>
    <row r="593" spans="6:6">
      <c r="F593" s="6"/>
    </row>
    <row r="594" spans="6:6">
      <c r="F594" s="6"/>
    </row>
    <row r="595" spans="6:6">
      <c r="F595" s="6"/>
    </row>
    <row r="596" spans="6:6">
      <c r="F596" s="6"/>
    </row>
    <row r="597" spans="6:6">
      <c r="F597" s="6"/>
    </row>
    <row r="598" spans="6:6">
      <c r="F598" s="6"/>
    </row>
    <row r="599" spans="6:6">
      <c r="F599" s="6"/>
    </row>
    <row r="600" spans="6:6">
      <c r="F600" s="6"/>
    </row>
    <row r="601" spans="6:6">
      <c r="F601" s="6"/>
    </row>
    <row r="602" spans="6:6">
      <c r="F602" s="6"/>
    </row>
    <row r="603" spans="6:6">
      <c r="F603" s="6"/>
    </row>
    <row r="604" spans="6:6">
      <c r="F604" s="6"/>
    </row>
    <row r="605" spans="6:6">
      <c r="F605" s="6"/>
    </row>
    <row r="606" spans="6:6">
      <c r="F606" s="6"/>
    </row>
    <row r="607" spans="6:6">
      <c r="F607" s="6"/>
    </row>
    <row r="608" spans="6:6">
      <c r="F608" s="6"/>
    </row>
    <row r="609" spans="6:6">
      <c r="F609" s="6"/>
    </row>
    <row r="610" spans="6:6">
      <c r="F610" s="6"/>
    </row>
    <row r="611" spans="6:6">
      <c r="F611" s="6"/>
    </row>
    <row r="612" spans="6:6">
      <c r="F612" s="6"/>
    </row>
    <row r="613" spans="6:6">
      <c r="F613" s="6"/>
    </row>
    <row r="614" spans="6:6">
      <c r="F614" s="6"/>
    </row>
    <row r="615" spans="6:6">
      <c r="F615" s="6"/>
    </row>
    <row r="616" spans="6:6">
      <c r="F616" s="6"/>
    </row>
    <row r="617" spans="6:6">
      <c r="F617" s="6"/>
    </row>
    <row r="618" spans="6:6">
      <c r="F618" s="6"/>
    </row>
    <row r="619" spans="6:6">
      <c r="F619" s="6"/>
    </row>
    <row r="620" spans="6:6">
      <c r="F620" s="6"/>
    </row>
    <row r="621" spans="6:6">
      <c r="F621" s="6"/>
    </row>
    <row r="622" spans="6:6">
      <c r="F622" s="6"/>
    </row>
    <row r="623" spans="6:6">
      <c r="F623" s="6"/>
    </row>
    <row r="624" spans="6:6">
      <c r="F624" s="6"/>
    </row>
    <row r="625" spans="6:6">
      <c r="F625" s="6"/>
    </row>
    <row r="626" spans="6:6">
      <c r="F626" s="6"/>
    </row>
    <row r="627" spans="6:6">
      <c r="F627" s="6"/>
    </row>
    <row r="628" spans="6:6">
      <c r="F628" s="6"/>
    </row>
    <row r="629" spans="6:6">
      <c r="F629" s="6"/>
    </row>
    <row r="630" spans="6:6">
      <c r="F630" s="6"/>
    </row>
    <row r="631" spans="6:6">
      <c r="F631" s="6"/>
    </row>
    <row r="632" spans="6:6">
      <c r="F632" s="6"/>
    </row>
    <row r="633" spans="6:6">
      <c r="F633" s="6"/>
    </row>
    <row r="634" spans="6:6">
      <c r="F634" s="6"/>
    </row>
    <row r="635" spans="6:6">
      <c r="F635" s="6"/>
    </row>
    <row r="636" spans="6:6">
      <c r="F636" s="6"/>
    </row>
    <row r="637" spans="6:6">
      <c r="F637" s="6"/>
    </row>
    <row r="638" spans="6:6">
      <c r="F638" s="6"/>
    </row>
    <row r="639" spans="6:6">
      <c r="F639" s="6"/>
    </row>
    <row r="640" spans="6:6">
      <c r="F640" s="6"/>
    </row>
    <row r="641" spans="6:6">
      <c r="F641" s="6"/>
    </row>
    <row r="642" spans="6:6">
      <c r="F642" s="6"/>
    </row>
    <row r="643" spans="6:6">
      <c r="F643" s="6"/>
    </row>
    <row r="644" spans="6:6">
      <c r="F644" s="6"/>
    </row>
    <row r="645" spans="6:6">
      <c r="F645" s="6"/>
    </row>
    <row r="646" spans="6:6">
      <c r="F646" s="6"/>
    </row>
    <row r="647" spans="6:6">
      <c r="F647" s="6"/>
    </row>
    <row r="648" spans="6:6">
      <c r="F648" s="6"/>
    </row>
    <row r="649" spans="6:6">
      <c r="F649" s="6"/>
    </row>
    <row r="650" spans="6:6">
      <c r="F650" s="6"/>
    </row>
    <row r="651" spans="6:6">
      <c r="F651" s="6"/>
    </row>
    <row r="652" spans="6:6">
      <c r="F652" s="6"/>
    </row>
    <row r="653" spans="6:6">
      <c r="F653" s="6"/>
    </row>
    <row r="654" spans="6:6">
      <c r="F654" s="6"/>
    </row>
    <row r="655" spans="6:6">
      <c r="F655" s="6"/>
    </row>
    <row r="656" spans="6:6">
      <c r="F656" s="6"/>
    </row>
    <row r="657" spans="6:6">
      <c r="F657" s="6"/>
    </row>
    <row r="658" spans="6:6">
      <c r="F658" s="6"/>
    </row>
    <row r="659" spans="6:6">
      <c r="F659" s="6"/>
    </row>
    <row r="660" spans="6:6">
      <c r="F660" s="6"/>
    </row>
    <row r="661" spans="6:6">
      <c r="F661" s="6"/>
    </row>
    <row r="662" spans="6:6">
      <c r="F662" s="6"/>
    </row>
    <row r="663" spans="6:6">
      <c r="F663" s="6"/>
    </row>
    <row r="664" spans="6:6">
      <c r="F664" s="6"/>
    </row>
    <row r="665" spans="6:6">
      <c r="F665" s="6"/>
    </row>
    <row r="666" spans="6:6">
      <c r="F666" s="6"/>
    </row>
    <row r="667" spans="6:6">
      <c r="F667" s="6"/>
    </row>
    <row r="668" spans="6:6">
      <c r="F668" s="6"/>
    </row>
    <row r="669" spans="6:6">
      <c r="F669" s="6"/>
    </row>
    <row r="670" spans="6:6">
      <c r="F670" s="6"/>
    </row>
    <row r="671" spans="6:6">
      <c r="F671" s="6"/>
    </row>
    <row r="672" spans="6:6">
      <c r="F672" s="6"/>
    </row>
    <row r="673" spans="6:6">
      <c r="F673" s="6"/>
    </row>
    <row r="674" spans="6:6">
      <c r="F674" s="6"/>
    </row>
    <row r="675" spans="6:6">
      <c r="F675" s="6"/>
    </row>
    <row r="676" spans="6:6">
      <c r="F676" s="6"/>
    </row>
    <row r="677" spans="6:6">
      <c r="F677" s="6"/>
    </row>
    <row r="678" spans="6:6">
      <c r="F678" s="6"/>
    </row>
    <row r="679" spans="6:6">
      <c r="F679" s="6"/>
    </row>
    <row r="680" spans="6:6">
      <c r="F680" s="6"/>
    </row>
    <row r="681" spans="6:6">
      <c r="F681" s="6"/>
    </row>
    <row r="682" spans="6:6">
      <c r="F682" s="6"/>
    </row>
    <row r="683" spans="6:6">
      <c r="F683" s="6"/>
    </row>
    <row r="684" spans="6:6">
      <c r="F684" s="6"/>
    </row>
    <row r="685" spans="6:6">
      <c r="F685" s="6"/>
    </row>
    <row r="686" spans="6:6">
      <c r="F686" s="6"/>
    </row>
    <row r="687" spans="6:6">
      <c r="F687" s="6"/>
    </row>
    <row r="688" spans="6:6">
      <c r="F688" s="6"/>
    </row>
    <row r="689" spans="6:6">
      <c r="F689" s="6"/>
    </row>
    <row r="690" spans="6:6">
      <c r="F690" s="6"/>
    </row>
    <row r="691" spans="6:6">
      <c r="F691" s="6"/>
    </row>
    <row r="692" spans="6:6">
      <c r="F692" s="6"/>
    </row>
    <row r="693" spans="6:6">
      <c r="F693" s="6"/>
    </row>
    <row r="694" spans="6:6">
      <c r="F694" s="6"/>
    </row>
    <row r="695" spans="6:6">
      <c r="F695" s="6"/>
    </row>
    <row r="696" spans="6:6">
      <c r="F696" s="6"/>
    </row>
    <row r="697" spans="6:6">
      <c r="F697" s="6"/>
    </row>
    <row r="698" spans="6:6">
      <c r="F698" s="6"/>
    </row>
    <row r="699" spans="6:6">
      <c r="F699" s="6"/>
    </row>
    <row r="700" spans="6:6">
      <c r="F700" s="6"/>
    </row>
    <row r="701" spans="6:6">
      <c r="F701" s="6"/>
    </row>
    <row r="702" spans="6:6">
      <c r="F702" s="6"/>
    </row>
    <row r="703" spans="6:6">
      <c r="F703" s="6"/>
    </row>
    <row r="704" spans="6:6">
      <c r="F704" s="6"/>
    </row>
    <row r="705" spans="6:6">
      <c r="F705" s="6"/>
    </row>
    <row r="706" spans="6:6">
      <c r="F706" s="6"/>
    </row>
    <row r="707" spans="6:6">
      <c r="F707" s="6"/>
    </row>
    <row r="708" spans="6:6">
      <c r="F708" s="6"/>
    </row>
    <row r="709" spans="6:6">
      <c r="F709" s="6"/>
    </row>
    <row r="710" spans="6:6">
      <c r="F710" s="6"/>
    </row>
    <row r="711" spans="6:6">
      <c r="F711" s="6"/>
    </row>
    <row r="712" spans="6:6">
      <c r="F712" s="6"/>
    </row>
    <row r="713" spans="6:6">
      <c r="F713" s="6"/>
    </row>
    <row r="714" spans="6:6">
      <c r="F714" s="6"/>
    </row>
    <row r="715" spans="6:6">
      <c r="F715" s="6"/>
    </row>
    <row r="716" spans="6:6">
      <c r="F716" s="6"/>
    </row>
    <row r="717" spans="6:6">
      <c r="F717" s="6"/>
    </row>
    <row r="718" spans="6:6">
      <c r="F718" s="6"/>
    </row>
    <row r="719" spans="6:6">
      <c r="F719" s="6"/>
    </row>
    <row r="720" spans="6:6">
      <c r="F720" s="6"/>
    </row>
    <row r="721" spans="6:6">
      <c r="F721" s="6"/>
    </row>
    <row r="722" spans="6:6">
      <c r="F722" s="6"/>
    </row>
    <row r="723" spans="6:6">
      <c r="F723" s="6"/>
    </row>
    <row r="724" spans="6:6">
      <c r="F724" s="6"/>
    </row>
    <row r="725" spans="6:6">
      <c r="F725" s="6"/>
    </row>
    <row r="726" spans="6:6">
      <c r="F726" s="6"/>
    </row>
    <row r="727" spans="6:6">
      <c r="F727" s="6"/>
    </row>
    <row r="728" spans="6:6">
      <c r="F728" s="6"/>
    </row>
    <row r="729" spans="6:6">
      <c r="F729" s="6"/>
    </row>
    <row r="730" spans="6:6">
      <c r="F730" s="6"/>
    </row>
    <row r="731" spans="6:6">
      <c r="F731" s="6"/>
    </row>
    <row r="732" spans="6:6">
      <c r="F732" s="6"/>
    </row>
    <row r="733" spans="6:6">
      <c r="F733" s="6"/>
    </row>
    <row r="734" spans="6:6">
      <c r="F734" s="6"/>
    </row>
    <row r="735" spans="6:6">
      <c r="F735" s="6"/>
    </row>
    <row r="736" spans="6:6">
      <c r="F736" s="6"/>
    </row>
    <row r="737" spans="6:6">
      <c r="F737" s="6"/>
    </row>
    <row r="738" spans="6:6">
      <c r="F738" s="6"/>
    </row>
    <row r="739" spans="6:6">
      <c r="F739" s="6"/>
    </row>
    <row r="740" spans="6:6">
      <c r="F740" s="6"/>
    </row>
    <row r="741" spans="6:6">
      <c r="F741" s="6"/>
    </row>
    <row r="742" spans="6:6">
      <c r="F742" s="6"/>
    </row>
    <row r="743" spans="6:6">
      <c r="F743" s="6"/>
    </row>
    <row r="744" spans="6:6">
      <c r="F744" s="6"/>
    </row>
    <row r="745" spans="6:6">
      <c r="F745" s="6"/>
    </row>
    <row r="746" spans="6:6">
      <c r="F746" s="6"/>
    </row>
    <row r="747" spans="6:6">
      <c r="F747" s="6"/>
    </row>
    <row r="748" spans="6:6">
      <c r="F748" s="6"/>
    </row>
    <row r="749" spans="6:6">
      <c r="F749" s="6"/>
    </row>
    <row r="750" spans="6:6">
      <c r="F750" s="6"/>
    </row>
    <row r="751" spans="6:6">
      <c r="F751" s="6"/>
    </row>
    <row r="752" spans="6:6">
      <c r="F752" s="6"/>
    </row>
    <row r="753" spans="6:6">
      <c r="F753" s="6"/>
    </row>
    <row r="754" spans="6:6">
      <c r="F754" s="6"/>
    </row>
    <row r="755" spans="6:6">
      <c r="F755" s="6"/>
    </row>
    <row r="756" spans="6:6">
      <c r="F756" s="6"/>
    </row>
    <row r="757" spans="6:6">
      <c r="F757" s="6"/>
    </row>
    <row r="758" spans="6:6">
      <c r="F758" s="6"/>
    </row>
    <row r="759" spans="6:6">
      <c r="F759" s="6"/>
    </row>
    <row r="760" spans="6:6">
      <c r="F760" s="6"/>
    </row>
    <row r="761" spans="6:6">
      <c r="F761" s="6"/>
    </row>
    <row r="762" spans="6:6">
      <c r="F762" s="6"/>
    </row>
    <row r="763" spans="6:6">
      <c r="F763" s="6"/>
    </row>
    <row r="764" spans="6:6">
      <c r="F764" s="6"/>
    </row>
    <row r="765" spans="6:6">
      <c r="F765" s="6"/>
    </row>
    <row r="766" spans="6:6">
      <c r="F766" s="6"/>
    </row>
    <row r="767" spans="6:6">
      <c r="F767" s="6"/>
    </row>
    <row r="768" spans="6:6">
      <c r="F768" s="6"/>
    </row>
    <row r="769" spans="6:6">
      <c r="F769" s="6"/>
    </row>
    <row r="770" spans="6:6">
      <c r="F770" s="6"/>
    </row>
    <row r="771" spans="6:6">
      <c r="F771" s="6"/>
    </row>
    <row r="772" spans="6:6">
      <c r="F772" s="6"/>
    </row>
    <row r="773" spans="6:6">
      <c r="F773" s="6"/>
    </row>
    <row r="774" spans="6:6">
      <c r="F774" s="6"/>
    </row>
    <row r="775" spans="6:6">
      <c r="F775" s="6"/>
    </row>
    <row r="776" spans="6:6">
      <c r="F776" s="6"/>
    </row>
    <row r="777" spans="6:6">
      <c r="F777" s="6"/>
    </row>
    <row r="778" spans="6:6">
      <c r="F778" s="6"/>
    </row>
    <row r="779" spans="6:6">
      <c r="F779" s="6"/>
    </row>
    <row r="780" spans="6:6">
      <c r="F780" s="6"/>
    </row>
    <row r="781" spans="6:6">
      <c r="F781" s="6"/>
    </row>
    <row r="782" spans="6:6">
      <c r="F782" s="6"/>
    </row>
    <row r="783" spans="6:6">
      <c r="F783" s="6"/>
    </row>
    <row r="784" spans="6:6">
      <c r="F784" s="6"/>
    </row>
    <row r="785" spans="6:6">
      <c r="F785" s="6"/>
    </row>
    <row r="786" spans="6:6">
      <c r="F786" s="6"/>
    </row>
    <row r="787" spans="6:6">
      <c r="F787" s="6"/>
    </row>
    <row r="788" spans="6:6">
      <c r="F788" s="6"/>
    </row>
    <row r="789" spans="6:6">
      <c r="F789" s="6"/>
    </row>
    <row r="790" spans="6:6">
      <c r="F790" s="6"/>
    </row>
    <row r="791" spans="6:6">
      <c r="F791" s="6"/>
    </row>
    <row r="792" spans="6:6">
      <c r="F792" s="6"/>
    </row>
    <row r="793" spans="6:6">
      <c r="F793" s="6"/>
    </row>
    <row r="794" spans="6:6">
      <c r="F794" s="6"/>
    </row>
    <row r="795" spans="6:6">
      <c r="F795" s="6"/>
    </row>
    <row r="796" spans="6:6">
      <c r="F796" s="6"/>
    </row>
    <row r="797" spans="6:6">
      <c r="F797" s="6"/>
    </row>
    <row r="798" spans="6:6">
      <c r="F798" s="6"/>
    </row>
    <row r="799" spans="6:6">
      <c r="F799" s="6"/>
    </row>
    <row r="800" spans="6:6">
      <c r="F800" s="6"/>
    </row>
    <row r="801" spans="6:6">
      <c r="F801" s="6"/>
    </row>
    <row r="802" spans="6:6">
      <c r="F802" s="6"/>
    </row>
    <row r="803" spans="6:6">
      <c r="F803" s="6"/>
    </row>
    <row r="804" spans="6:6">
      <c r="F804" s="6"/>
    </row>
    <row r="805" spans="6:6">
      <c r="F805" s="6"/>
    </row>
    <row r="806" spans="6:6">
      <c r="F806" s="6"/>
    </row>
    <row r="807" spans="6:6">
      <c r="F807" s="6"/>
    </row>
    <row r="808" spans="6:6">
      <c r="F808" s="6"/>
    </row>
    <row r="809" spans="6:6">
      <c r="F809" s="6"/>
    </row>
    <row r="810" spans="6:6">
      <c r="F810" s="6"/>
    </row>
    <row r="811" spans="6:6">
      <c r="F811" s="6"/>
    </row>
    <row r="812" spans="6:6">
      <c r="F812" s="6"/>
    </row>
    <row r="813" spans="6:6">
      <c r="F813" s="6"/>
    </row>
    <row r="814" spans="6:6">
      <c r="F814" s="6"/>
    </row>
    <row r="815" spans="6:6">
      <c r="F815" s="6"/>
    </row>
    <row r="816" spans="6:6">
      <c r="F816" s="6"/>
    </row>
    <row r="817" spans="6:6">
      <c r="F817" s="6"/>
    </row>
    <row r="818" spans="6:6">
      <c r="F818" s="6"/>
    </row>
    <row r="819" spans="6:6">
      <c r="F819" s="6"/>
    </row>
    <row r="820" spans="6:6">
      <c r="F820" s="6"/>
    </row>
    <row r="821" spans="6:6">
      <c r="F821" s="6"/>
    </row>
    <row r="822" spans="6:6">
      <c r="F822" s="6"/>
    </row>
    <row r="823" spans="6:6">
      <c r="F823" s="6"/>
    </row>
    <row r="824" spans="6:6">
      <c r="F824" s="6"/>
    </row>
    <row r="825" spans="6:6">
      <c r="F825" s="6"/>
    </row>
    <row r="826" spans="6:6">
      <c r="F826" s="6"/>
    </row>
    <row r="827" spans="6:6">
      <c r="F827" s="6"/>
    </row>
    <row r="828" spans="6:6">
      <c r="F828" s="6"/>
    </row>
    <row r="829" spans="6:6">
      <c r="F829" s="6"/>
    </row>
    <row r="830" spans="6:6">
      <c r="F830" s="6"/>
    </row>
    <row r="831" spans="6:6">
      <c r="F831" s="6"/>
    </row>
    <row r="832" spans="6:6">
      <c r="F832" s="6"/>
    </row>
    <row r="833" spans="6:6">
      <c r="F833" s="6"/>
    </row>
    <row r="834" spans="6:6">
      <c r="F834" s="6"/>
    </row>
    <row r="835" spans="6:6">
      <c r="F835" s="6"/>
    </row>
    <row r="836" spans="6:6">
      <c r="F836" s="6"/>
    </row>
    <row r="837" spans="6:6">
      <c r="F837" s="6"/>
    </row>
    <row r="838" spans="6:6">
      <c r="F838" s="6"/>
    </row>
    <row r="839" spans="6:6">
      <c r="F839" s="6"/>
    </row>
    <row r="840" spans="6:6">
      <c r="F840" s="6"/>
    </row>
    <row r="841" spans="6:6">
      <c r="F841" s="6"/>
    </row>
    <row r="842" spans="6:6">
      <c r="F842" s="6"/>
    </row>
    <row r="843" spans="6:6">
      <c r="F843" s="6"/>
    </row>
    <row r="844" spans="6:6">
      <c r="F844" s="6"/>
    </row>
    <row r="845" spans="6:6">
      <c r="F845" s="6"/>
    </row>
    <row r="846" spans="6:6">
      <c r="F846" s="6"/>
    </row>
    <row r="847" spans="6:6">
      <c r="F847" s="6"/>
    </row>
    <row r="848" spans="6:6">
      <c r="F848" s="6"/>
    </row>
    <row r="849" spans="6:6">
      <c r="F849" s="6"/>
    </row>
    <row r="850" spans="6:6">
      <c r="F850" s="6"/>
    </row>
    <row r="851" spans="6:6">
      <c r="F851" s="6"/>
    </row>
    <row r="852" spans="6:6">
      <c r="F852" s="6"/>
    </row>
    <row r="853" spans="6:6">
      <c r="F853" s="6"/>
    </row>
    <row r="854" spans="6:6">
      <c r="F854" s="6"/>
    </row>
    <row r="855" spans="6:6">
      <c r="F855" s="6"/>
    </row>
    <row r="856" spans="6:6">
      <c r="F856" s="6"/>
    </row>
    <row r="857" spans="6:6">
      <c r="F857" s="6"/>
    </row>
    <row r="858" spans="6:6">
      <c r="F858" s="6"/>
    </row>
    <row r="859" spans="6:6">
      <c r="F859" s="6"/>
    </row>
    <row r="860" spans="6:6">
      <c r="F860" s="6"/>
    </row>
    <row r="861" spans="6:6">
      <c r="F861" s="6"/>
    </row>
    <row r="862" spans="6:6">
      <c r="F862" s="6"/>
    </row>
    <row r="863" spans="6:6">
      <c r="F863" s="6"/>
    </row>
    <row r="864" spans="6:6">
      <c r="F864" s="6"/>
    </row>
    <row r="865" spans="6:6">
      <c r="F865" s="6"/>
    </row>
    <row r="866" spans="6:6">
      <c r="F866" s="6"/>
    </row>
    <row r="867" spans="6:6">
      <c r="F867" s="6"/>
    </row>
    <row r="868" spans="6:6">
      <c r="F868" s="6"/>
    </row>
    <row r="869" spans="6:6">
      <c r="F869" s="6"/>
    </row>
    <row r="870" spans="6:6">
      <c r="F870" s="6"/>
    </row>
    <row r="871" spans="6:6">
      <c r="F871" s="6"/>
    </row>
    <row r="872" spans="6:6">
      <c r="F872" s="6"/>
    </row>
    <row r="873" spans="6:6">
      <c r="F873" s="6"/>
    </row>
    <row r="874" spans="6:6">
      <c r="F874" s="6"/>
    </row>
    <row r="875" spans="6:6">
      <c r="F875" s="6"/>
    </row>
    <row r="876" spans="6:6">
      <c r="F876" s="6"/>
    </row>
    <row r="877" spans="6:6">
      <c r="F877" s="6"/>
    </row>
    <row r="878" spans="6:6">
      <c r="F878" s="6"/>
    </row>
    <row r="879" spans="6:6">
      <c r="F879" s="6"/>
    </row>
    <row r="880" spans="6:6">
      <c r="F880" s="6"/>
    </row>
    <row r="881" spans="6:6">
      <c r="F881" s="6"/>
    </row>
    <row r="882" spans="6:6">
      <c r="F882" s="6"/>
    </row>
    <row r="883" spans="6:6">
      <c r="F883" s="6"/>
    </row>
    <row r="884" spans="6:6">
      <c r="F884" s="6"/>
    </row>
    <row r="885" spans="6:6">
      <c r="F885" s="6"/>
    </row>
    <row r="886" spans="6:6">
      <c r="F886" s="6"/>
    </row>
    <row r="887" spans="6:6">
      <c r="F887" s="6"/>
    </row>
    <row r="888" spans="6:6">
      <c r="F888" s="6"/>
    </row>
    <row r="889" spans="6:6">
      <c r="F889" s="6"/>
    </row>
    <row r="890" spans="6:6">
      <c r="F890" s="6"/>
    </row>
    <row r="891" spans="6:6">
      <c r="F891" s="6"/>
    </row>
    <row r="892" spans="6:6">
      <c r="F892" s="6"/>
    </row>
    <row r="893" spans="6:6">
      <c r="F893" s="6"/>
    </row>
    <row r="894" spans="6:6">
      <c r="F894" s="6"/>
    </row>
    <row r="895" spans="6:6">
      <c r="F895" s="6"/>
    </row>
    <row r="896" spans="6:6">
      <c r="F896" s="6"/>
    </row>
    <row r="897" spans="6:6">
      <c r="F897" s="6"/>
    </row>
    <row r="898" spans="6:6">
      <c r="F898" s="6"/>
    </row>
    <row r="899" spans="6:6">
      <c r="F899" s="6"/>
    </row>
    <row r="900" spans="6:6">
      <c r="F900" s="6"/>
    </row>
    <row r="901" spans="6:6">
      <c r="F901" s="6"/>
    </row>
    <row r="902" spans="6:6">
      <c r="F902" s="6"/>
    </row>
    <row r="903" spans="6:6">
      <c r="F903" s="6"/>
    </row>
    <row r="904" spans="6:6">
      <c r="F904" s="6"/>
    </row>
    <row r="905" spans="6:6">
      <c r="F905" s="6"/>
    </row>
    <row r="906" spans="6:6">
      <c r="F906" s="6"/>
    </row>
    <row r="907" spans="6:6">
      <c r="F907" s="6"/>
    </row>
    <row r="908" spans="6:6">
      <c r="F908" s="6"/>
    </row>
    <row r="909" spans="6:6">
      <c r="F909" s="6"/>
    </row>
    <row r="910" spans="6:6">
      <c r="F910" s="6"/>
    </row>
    <row r="911" spans="6:6">
      <c r="F911" s="6"/>
    </row>
    <row r="912" spans="6:6">
      <c r="F912" s="6"/>
    </row>
    <row r="913" spans="6:6">
      <c r="F913" s="6"/>
    </row>
    <row r="914" spans="6:6">
      <c r="F914" s="6"/>
    </row>
    <row r="915" spans="6:6">
      <c r="F915" s="6"/>
    </row>
    <row r="916" spans="6:6">
      <c r="F916" s="6"/>
    </row>
    <row r="917" spans="6:6">
      <c r="F917" s="6"/>
    </row>
    <row r="918" spans="6:6">
      <c r="F918" s="6"/>
    </row>
    <row r="919" spans="6:6">
      <c r="F919" s="6"/>
    </row>
    <row r="920" spans="6:6">
      <c r="F920" s="6"/>
    </row>
    <row r="921" spans="6:6">
      <c r="F921" s="6"/>
    </row>
    <row r="922" spans="6:6">
      <c r="F922" s="6"/>
    </row>
    <row r="923" spans="6:6">
      <c r="F923" s="6"/>
    </row>
    <row r="924" spans="6:6">
      <c r="F924" s="6"/>
    </row>
    <row r="925" spans="6:6">
      <c r="F925" s="6"/>
    </row>
    <row r="926" spans="6:6">
      <c r="F926" s="6"/>
    </row>
    <row r="927" spans="6:6">
      <c r="F927" s="6"/>
    </row>
    <row r="928" spans="6:6">
      <c r="F928" s="6"/>
    </row>
    <row r="929" spans="6:6">
      <c r="F929" s="6"/>
    </row>
    <row r="930" spans="6:6">
      <c r="F930" s="6"/>
    </row>
    <row r="931" spans="6:6">
      <c r="F931" s="6"/>
    </row>
    <row r="932" spans="6:6">
      <c r="F932" s="6"/>
    </row>
    <row r="933" spans="6:6">
      <c r="F933" s="6"/>
    </row>
    <row r="934" spans="6:6">
      <c r="F934" s="6"/>
    </row>
    <row r="935" spans="6:6">
      <c r="F935" s="6"/>
    </row>
    <row r="936" spans="6:6">
      <c r="F936" s="6"/>
    </row>
    <row r="937" spans="6:6">
      <c r="F937" s="6"/>
    </row>
    <row r="938" spans="6:6">
      <c r="F938" s="6"/>
    </row>
    <row r="939" spans="6:6">
      <c r="F939" s="6"/>
    </row>
    <row r="940" spans="6:6">
      <c r="F940" s="6"/>
    </row>
    <row r="941" spans="6:6">
      <c r="F941" s="6"/>
    </row>
    <row r="942" spans="6:6">
      <c r="F942" s="6"/>
    </row>
    <row r="943" spans="6:6">
      <c r="F943" s="6"/>
    </row>
    <row r="944" spans="6:6">
      <c r="F944" s="6"/>
    </row>
    <row r="945" spans="6:6">
      <c r="F945" s="6"/>
    </row>
    <row r="946" spans="6:6">
      <c r="F946" s="6"/>
    </row>
    <row r="947" spans="6:6">
      <c r="F947" s="6"/>
    </row>
    <row r="948" spans="6:6">
      <c r="F948" s="6"/>
    </row>
    <row r="949" spans="6:6">
      <c r="F949" s="6"/>
    </row>
    <row r="950" spans="6:6">
      <c r="F950" s="6"/>
    </row>
    <row r="951" spans="6:6">
      <c r="F951" s="6"/>
    </row>
    <row r="952" spans="6:6">
      <c r="F952" s="6"/>
    </row>
    <row r="953" spans="6:6">
      <c r="F953" s="6"/>
    </row>
    <row r="954" spans="6:6">
      <c r="F954" s="6"/>
    </row>
    <row r="955" spans="6:6">
      <c r="F955" s="6"/>
    </row>
    <row r="956" spans="6:6">
      <c r="F956" s="6"/>
    </row>
    <row r="957" spans="6:6">
      <c r="F957" s="6"/>
    </row>
    <row r="958" spans="6:6">
      <c r="F958" s="6"/>
    </row>
    <row r="959" spans="6:6">
      <c r="F959" s="6"/>
    </row>
    <row r="960" spans="6:6">
      <c r="F960" s="6"/>
    </row>
    <row r="961" spans="6:6">
      <c r="F961" s="6"/>
    </row>
    <row r="962" spans="6:6">
      <c r="F962" s="6"/>
    </row>
    <row r="963" spans="6:6">
      <c r="F963" s="6"/>
    </row>
    <row r="964" spans="6:6">
      <c r="F964" s="6"/>
    </row>
    <row r="965" spans="6:6">
      <c r="F965" s="6"/>
    </row>
    <row r="966" spans="6:6">
      <c r="F966" s="6"/>
    </row>
    <row r="967" spans="6:6">
      <c r="F967" s="6"/>
    </row>
    <row r="968" spans="6:6">
      <c r="F968" s="6"/>
    </row>
    <row r="969" spans="6:6">
      <c r="F969" s="6"/>
    </row>
    <row r="970" spans="6:6">
      <c r="F970" s="6"/>
    </row>
    <row r="971" spans="6:6">
      <c r="F971" s="6"/>
    </row>
    <row r="972" spans="6:6">
      <c r="F972" s="6"/>
    </row>
    <row r="973" spans="6:6">
      <c r="F973" s="6"/>
    </row>
    <row r="974" spans="6:6">
      <c r="F974" s="6"/>
    </row>
    <row r="975" spans="6:6">
      <c r="F975" s="6"/>
    </row>
    <row r="976" spans="6:6">
      <c r="F976" s="6"/>
    </row>
    <row r="977" spans="6:6">
      <c r="F977" s="6"/>
    </row>
    <row r="978" spans="6:6">
      <c r="F978" s="6"/>
    </row>
    <row r="979" spans="6:6">
      <c r="F979" s="6"/>
    </row>
    <row r="980" spans="6:6">
      <c r="F980" s="6"/>
    </row>
    <row r="981" spans="6:6">
      <c r="F981" s="6"/>
    </row>
    <row r="982" spans="6:6">
      <c r="F982" s="6"/>
    </row>
    <row r="983" spans="6:6">
      <c r="F983" s="6"/>
    </row>
    <row r="984" spans="6:6">
      <c r="F984" s="6"/>
    </row>
    <row r="985" spans="6:6">
      <c r="F985" s="6"/>
    </row>
    <row r="986" spans="6:6">
      <c r="F986" s="6"/>
    </row>
    <row r="987" spans="6:6">
      <c r="F987" s="6"/>
    </row>
    <row r="988" spans="6:6">
      <c r="F988" s="6"/>
    </row>
    <row r="989" spans="6:6">
      <c r="F989" s="6"/>
    </row>
    <row r="990" spans="6:6">
      <c r="F990" s="6"/>
    </row>
    <row r="991" spans="6:6">
      <c r="F991" s="6"/>
    </row>
    <row r="992" spans="6:6">
      <c r="F992" s="6"/>
    </row>
    <row r="993" spans="6:6">
      <c r="F993" s="6"/>
    </row>
    <row r="994" spans="6:6">
      <c r="F994" s="6"/>
    </row>
    <row r="995" spans="6:6">
      <c r="F995" s="6"/>
    </row>
    <row r="996" spans="6:6">
      <c r="F996" s="6"/>
    </row>
    <row r="997" spans="6:6">
      <c r="F997" s="6"/>
    </row>
    <row r="998" spans="6:6">
      <c r="F998" s="6"/>
    </row>
    <row r="999" spans="6:6">
      <c r="F999" s="6"/>
    </row>
    <row r="1000" spans="6:6">
      <c r="F1000" s="6"/>
    </row>
    <row r="1001" spans="6:6">
      <c r="F1001" s="6"/>
    </row>
    <row r="1002" spans="6:6">
      <c r="F1002" s="6"/>
    </row>
    <row r="1003" spans="6:6">
      <c r="F1003" s="6"/>
    </row>
    <row r="1004" spans="6:6">
      <c r="F1004" s="6"/>
    </row>
    <row r="1005" spans="6:6">
      <c r="F1005" s="6"/>
    </row>
    <row r="1006" spans="6:6">
      <c r="F1006" s="6"/>
    </row>
    <row r="1007" spans="6:6">
      <c r="F1007" s="6"/>
    </row>
    <row r="1008" spans="6:6">
      <c r="F1008" s="6"/>
    </row>
    <row r="1009" spans="6:6">
      <c r="F1009" s="6"/>
    </row>
    <row r="1010" spans="6:6">
      <c r="F1010" s="6"/>
    </row>
    <row r="1011" spans="6:6">
      <c r="F1011" s="6"/>
    </row>
    <row r="1012" spans="6:6">
      <c r="F1012" s="6"/>
    </row>
    <row r="1013" spans="6:6">
      <c r="F1013" s="6"/>
    </row>
    <row r="1014" spans="6:6">
      <c r="F1014" s="6"/>
    </row>
    <row r="1015" spans="6:6">
      <c r="F1015" s="6"/>
    </row>
    <row r="1016" spans="6:6">
      <c r="F1016" s="6"/>
    </row>
    <row r="1017" spans="6:6">
      <c r="F1017" s="6"/>
    </row>
    <row r="1018" spans="6:6">
      <c r="F1018" s="6"/>
    </row>
    <row r="1019" spans="6:6">
      <c r="F1019" s="6"/>
    </row>
    <row r="1020" spans="6:6">
      <c r="F1020" s="6"/>
    </row>
    <row r="1021" spans="6:6">
      <c r="F1021" s="6"/>
    </row>
    <row r="1022" spans="6:6">
      <c r="F1022" s="6"/>
    </row>
    <row r="1023" spans="6:6">
      <c r="F1023" s="6"/>
    </row>
    <row r="1024" spans="6:6">
      <c r="F1024" s="6"/>
    </row>
    <row r="1025" spans="6:6">
      <c r="F1025" s="6"/>
    </row>
    <row r="1026" spans="6:6">
      <c r="F1026" s="6"/>
    </row>
    <row r="1027" spans="6:6">
      <c r="F1027" s="6"/>
    </row>
    <row r="1028" spans="6:6">
      <c r="F1028" s="6"/>
    </row>
    <row r="1029" spans="6:6">
      <c r="F1029" s="6"/>
    </row>
    <row r="1030" spans="6:6">
      <c r="F1030" s="6"/>
    </row>
    <row r="1031" spans="6:6">
      <c r="F1031" s="6"/>
    </row>
    <row r="1032" spans="6:6">
      <c r="F1032" s="6"/>
    </row>
    <row r="1033" spans="6:6">
      <c r="F1033" s="6"/>
    </row>
    <row r="1034" spans="6:6">
      <c r="F1034" s="6"/>
    </row>
    <row r="1035" spans="6:6">
      <c r="F1035" s="6"/>
    </row>
    <row r="1036" spans="6:6">
      <c r="F1036" s="6"/>
    </row>
    <row r="1037" spans="6:6">
      <c r="F1037" s="6"/>
    </row>
    <row r="1038" spans="6:6">
      <c r="F1038" s="6"/>
    </row>
    <row r="1039" spans="6:6">
      <c r="F1039" s="6"/>
    </row>
    <row r="1040" spans="6:6">
      <c r="F1040" s="6"/>
    </row>
    <row r="1041" spans="6:6">
      <c r="F1041" s="6"/>
    </row>
    <row r="1042" spans="6:6">
      <c r="F1042" s="6"/>
    </row>
    <row r="1043" spans="6:6">
      <c r="F1043" s="6"/>
    </row>
    <row r="1044" spans="6:6">
      <c r="F1044" s="6"/>
    </row>
    <row r="1045" spans="6:6">
      <c r="F1045" s="6"/>
    </row>
    <row r="1046" spans="6:6">
      <c r="F1046" s="6"/>
    </row>
    <row r="1047" spans="6:6">
      <c r="F1047" s="6"/>
    </row>
    <row r="1048" spans="6:6">
      <c r="F1048" s="6"/>
    </row>
    <row r="1049" spans="6:6">
      <c r="F1049" s="6"/>
    </row>
    <row r="1050" spans="6:6">
      <c r="F1050" s="6"/>
    </row>
    <row r="1051" spans="6:6">
      <c r="F1051" s="6"/>
    </row>
    <row r="1052" spans="6:6">
      <c r="F1052" s="6"/>
    </row>
    <row r="1053" spans="6:6">
      <c r="F1053" s="6"/>
    </row>
    <row r="1054" spans="6:6">
      <c r="F1054" s="6"/>
    </row>
    <row r="1055" spans="6:6">
      <c r="F1055" s="6"/>
    </row>
    <row r="1056" spans="6:6">
      <c r="F1056" s="6"/>
    </row>
    <row r="1057" spans="6:6">
      <c r="F1057" s="6"/>
    </row>
    <row r="1058" spans="6:6">
      <c r="F1058" s="6"/>
    </row>
    <row r="1059" spans="6:6">
      <c r="F1059" s="6"/>
    </row>
    <row r="1060" spans="6:6">
      <c r="F1060" s="6"/>
    </row>
    <row r="1061" spans="6:6">
      <c r="F1061" s="6"/>
    </row>
    <row r="1062" spans="6:6">
      <c r="F1062" s="6"/>
    </row>
    <row r="1063" spans="6:6">
      <c r="F1063" s="6"/>
    </row>
    <row r="1064" spans="6:6">
      <c r="F1064" s="6"/>
    </row>
    <row r="1065" spans="6:6">
      <c r="F1065" s="6"/>
    </row>
    <row r="1066" spans="6:6">
      <c r="F1066" s="6"/>
    </row>
    <row r="1067" spans="6:6">
      <c r="F1067" s="6"/>
    </row>
    <row r="1068" spans="6:6">
      <c r="F1068" s="6"/>
    </row>
    <row r="1069" spans="6:6">
      <c r="F1069" s="6"/>
    </row>
    <row r="1070" spans="6:6">
      <c r="F1070" s="6"/>
    </row>
    <row r="1071" spans="6:6">
      <c r="F1071" s="6"/>
    </row>
    <row r="1072" spans="6:6">
      <c r="F1072" s="6"/>
    </row>
    <row r="1073" spans="6:6">
      <c r="F1073" s="6"/>
    </row>
    <row r="1074" spans="6:6">
      <c r="F1074" s="6"/>
    </row>
    <row r="1075" spans="6:6">
      <c r="F1075" s="6"/>
    </row>
    <row r="1076" spans="6:6">
      <c r="F1076" s="6"/>
    </row>
    <row r="1077" spans="6:6">
      <c r="F1077" s="6"/>
    </row>
    <row r="1078" spans="6:6">
      <c r="F1078" s="6"/>
    </row>
    <row r="1079" spans="6:6">
      <c r="F1079" s="6"/>
    </row>
    <row r="1080" spans="6:6">
      <c r="F1080" s="6"/>
    </row>
    <row r="1081" spans="6:6">
      <c r="F1081" s="6"/>
    </row>
    <row r="1082" spans="6:6">
      <c r="F1082" s="6"/>
    </row>
    <row r="1083" spans="6:6">
      <c r="F1083" s="6"/>
    </row>
    <row r="1084" spans="6:6">
      <c r="F1084" s="6"/>
    </row>
    <row r="1085" spans="6:6">
      <c r="F1085" s="6"/>
    </row>
    <row r="1086" spans="6:6">
      <c r="F1086" s="6"/>
    </row>
    <row r="1087" spans="6:6">
      <c r="F1087" s="6"/>
    </row>
    <row r="1088" spans="6:6">
      <c r="F1088" s="6"/>
    </row>
    <row r="1089" spans="6:6">
      <c r="F1089" s="6"/>
    </row>
    <row r="1090" spans="6:6">
      <c r="F1090" s="6"/>
    </row>
    <row r="1091" spans="6:6">
      <c r="F1091" s="6"/>
    </row>
    <row r="1092" spans="6:6">
      <c r="F1092" s="6"/>
    </row>
    <row r="1093" spans="6:6">
      <c r="F1093" s="6"/>
    </row>
    <row r="1094" spans="6:6">
      <c r="F1094" s="6"/>
    </row>
    <row r="1095" spans="6:6">
      <c r="F1095" s="6"/>
    </row>
    <row r="1096" spans="6:6">
      <c r="F1096" s="6"/>
    </row>
    <row r="1097" spans="6:6">
      <c r="F1097" s="6"/>
    </row>
    <row r="1098" spans="6:6">
      <c r="F1098" s="6"/>
    </row>
    <row r="1099" spans="6:6">
      <c r="F1099" s="6"/>
    </row>
    <row r="1100" spans="6:6">
      <c r="F1100" s="6"/>
    </row>
    <row r="1101" spans="6:6">
      <c r="F1101" s="6"/>
    </row>
    <row r="1102" spans="6:6">
      <c r="F1102" s="6"/>
    </row>
    <row r="1103" spans="6:6">
      <c r="F1103" s="6"/>
    </row>
    <row r="1104" spans="6:6">
      <c r="F1104" s="6"/>
    </row>
    <row r="1105" spans="6:6">
      <c r="F1105" s="6"/>
    </row>
    <row r="1106" spans="6:6">
      <c r="F1106" s="6"/>
    </row>
    <row r="1107" spans="6:6">
      <c r="F1107" s="6"/>
    </row>
    <row r="1108" spans="6:6">
      <c r="F1108" s="6"/>
    </row>
    <row r="1109" spans="6:6">
      <c r="F1109" s="6"/>
    </row>
    <row r="1110" spans="6:6">
      <c r="F1110" s="6"/>
    </row>
    <row r="1111" spans="6:6">
      <c r="F1111" s="6"/>
    </row>
    <row r="1112" spans="6:6">
      <c r="F1112" s="6"/>
    </row>
    <row r="1113" spans="6:6">
      <c r="F1113" s="6"/>
    </row>
    <row r="1114" spans="6:6">
      <c r="F1114" s="6"/>
    </row>
    <row r="1115" spans="6:6">
      <c r="F1115" s="6"/>
    </row>
    <row r="1116" spans="6:6">
      <c r="F1116" s="6"/>
    </row>
    <row r="1117" spans="6:6">
      <c r="F1117" s="6"/>
    </row>
    <row r="1118" spans="6:6">
      <c r="F1118" s="6"/>
    </row>
    <row r="1119" spans="6:6">
      <c r="F1119" s="6"/>
    </row>
    <row r="1120" spans="6:6">
      <c r="F1120" s="6"/>
    </row>
    <row r="1121" spans="6:6">
      <c r="F1121" s="6"/>
    </row>
    <row r="1122" spans="6:6">
      <c r="F1122" s="6"/>
    </row>
    <row r="1123" spans="6:6">
      <c r="F1123" s="6"/>
    </row>
    <row r="1124" spans="6:6">
      <c r="F1124" s="6"/>
    </row>
    <row r="1125" spans="6:6">
      <c r="F1125" s="6"/>
    </row>
    <row r="1126" spans="6:6">
      <c r="F1126" s="6"/>
    </row>
    <row r="1127" spans="6:6">
      <c r="F1127" s="6"/>
    </row>
    <row r="1128" spans="6:6">
      <c r="F1128" s="6"/>
    </row>
    <row r="1129" spans="6:6">
      <c r="F1129" s="6"/>
    </row>
    <row r="1130" spans="6:6">
      <c r="F1130" s="6"/>
    </row>
    <row r="1131" spans="6:6">
      <c r="F1131" s="6"/>
    </row>
    <row r="1132" spans="6:6">
      <c r="F1132" s="6"/>
    </row>
    <row r="1133" spans="6:6">
      <c r="F1133" s="6"/>
    </row>
    <row r="1134" spans="6:6">
      <c r="F1134" s="6"/>
    </row>
    <row r="1135" spans="6:6">
      <c r="F1135" s="6"/>
    </row>
    <row r="1136" spans="6:6">
      <c r="F1136" s="6"/>
    </row>
    <row r="1137" spans="6:6">
      <c r="F1137" s="6"/>
    </row>
    <row r="1138" spans="6:6">
      <c r="F1138" s="6"/>
    </row>
    <row r="1139" spans="6:6">
      <c r="F1139" s="6"/>
    </row>
    <row r="1140" spans="6:6">
      <c r="F1140" s="6"/>
    </row>
    <row r="1141" spans="6:6">
      <c r="F1141" s="6"/>
    </row>
    <row r="1142" spans="6:6">
      <c r="F1142" s="6"/>
    </row>
    <row r="1143" spans="6:6">
      <c r="F1143" s="6"/>
    </row>
    <row r="1144" spans="6:6">
      <c r="F1144" s="6"/>
    </row>
    <row r="1145" spans="6:6">
      <c r="F1145" s="6"/>
    </row>
    <row r="1146" spans="6:6">
      <c r="F1146" s="6"/>
    </row>
    <row r="1147" spans="6:6">
      <c r="F1147" s="6"/>
    </row>
    <row r="1148" spans="6:6">
      <c r="F1148" s="6"/>
    </row>
    <row r="1149" spans="6:6">
      <c r="F1149" s="6"/>
    </row>
    <row r="1150" spans="6:6">
      <c r="F1150" s="6"/>
    </row>
    <row r="1151" spans="6:6">
      <c r="F1151" s="6"/>
    </row>
    <row r="1152" spans="6:6">
      <c r="F1152" s="6"/>
    </row>
    <row r="1153" spans="6:6">
      <c r="F1153" s="6"/>
    </row>
    <row r="1154" spans="6:6">
      <c r="F1154" s="6"/>
    </row>
    <row r="1155" spans="6:6">
      <c r="F1155" s="6"/>
    </row>
    <row r="1156" spans="6:6">
      <c r="F1156" s="6"/>
    </row>
    <row r="1157" spans="6:6">
      <c r="F1157" s="6"/>
    </row>
    <row r="1158" spans="6:6">
      <c r="F1158" s="6"/>
    </row>
    <row r="1159" spans="6:6">
      <c r="F1159" s="6"/>
    </row>
    <row r="1160" spans="6:6">
      <c r="F1160" s="6"/>
    </row>
    <row r="1161" spans="6:6">
      <c r="F1161" s="6"/>
    </row>
    <row r="1162" spans="6:6">
      <c r="F1162" s="6"/>
    </row>
    <row r="1163" spans="6:6">
      <c r="F1163" s="6"/>
    </row>
    <row r="1164" spans="6:6">
      <c r="F1164" s="6"/>
    </row>
    <row r="1165" spans="6:6">
      <c r="F1165" s="6"/>
    </row>
    <row r="1166" spans="6:6">
      <c r="F1166" s="6"/>
    </row>
    <row r="1167" spans="6:6">
      <c r="F1167" s="6"/>
    </row>
    <row r="1168" spans="6:6">
      <c r="F1168" s="6"/>
    </row>
    <row r="1169" spans="6:6">
      <c r="F1169" s="6"/>
    </row>
    <row r="1170" spans="6:6">
      <c r="F1170" s="6"/>
    </row>
    <row r="1171" spans="6:6">
      <c r="F1171" s="6"/>
    </row>
    <row r="1172" spans="6:6">
      <c r="F1172" s="6"/>
    </row>
    <row r="1173" spans="6:6">
      <c r="F1173" s="6"/>
    </row>
    <row r="1174" spans="6:6">
      <c r="F1174" s="6"/>
    </row>
    <row r="1175" spans="6:6">
      <c r="F1175" s="6"/>
    </row>
    <row r="1176" spans="6:6">
      <c r="F1176" s="6"/>
    </row>
    <row r="1177" spans="6:6">
      <c r="F1177" s="6"/>
    </row>
    <row r="1178" spans="6:6">
      <c r="F1178" s="6"/>
    </row>
    <row r="1179" spans="6:6">
      <c r="F1179" s="6"/>
    </row>
    <row r="1180" spans="6:6">
      <c r="F1180" s="6"/>
    </row>
    <row r="1181" spans="6:6">
      <c r="F1181" s="6"/>
    </row>
    <row r="1182" spans="6:6">
      <c r="F1182" s="6"/>
    </row>
    <row r="1183" spans="6:6">
      <c r="F1183" s="6"/>
    </row>
    <row r="1184" spans="6:6">
      <c r="F1184" s="6"/>
    </row>
    <row r="1185" spans="6:6">
      <c r="F1185" s="6"/>
    </row>
    <row r="1186" spans="6:6">
      <c r="F1186" s="6"/>
    </row>
    <row r="1187" spans="6:6">
      <c r="F1187" s="6"/>
    </row>
    <row r="1188" spans="6:6">
      <c r="F1188" s="6"/>
    </row>
    <row r="1189" spans="6:6">
      <c r="F1189" s="6"/>
    </row>
    <row r="1190" spans="6:6">
      <c r="F1190" s="6"/>
    </row>
    <row r="1191" spans="6:6">
      <c r="F1191" s="6"/>
    </row>
    <row r="1192" spans="6:6">
      <c r="F1192" s="6"/>
    </row>
    <row r="1193" spans="6:6">
      <c r="F1193" s="6"/>
    </row>
    <row r="1194" spans="6:6">
      <c r="F1194" s="6"/>
    </row>
    <row r="1195" spans="6:6">
      <c r="F1195" s="6"/>
    </row>
    <row r="1196" spans="6:6">
      <c r="F1196" s="6"/>
    </row>
    <row r="1197" spans="6:6">
      <c r="F1197" s="6"/>
    </row>
    <row r="1198" spans="6:6">
      <c r="F1198" s="6"/>
    </row>
    <row r="1199" spans="6:6">
      <c r="F1199" s="6"/>
    </row>
    <row r="1200" spans="6:6">
      <c r="F1200" s="6"/>
    </row>
    <row r="1201" spans="6:6">
      <c r="F1201" s="6"/>
    </row>
    <row r="1202" spans="6:6">
      <c r="F1202" s="6"/>
    </row>
    <row r="1203" spans="6:6">
      <c r="F1203" s="6"/>
    </row>
    <row r="1204" spans="6:6">
      <c r="F1204" s="6"/>
    </row>
    <row r="1205" spans="6:6">
      <c r="F1205" s="6"/>
    </row>
    <row r="1206" spans="6:6">
      <c r="F1206" s="6"/>
    </row>
    <row r="1207" spans="6:6">
      <c r="F1207" s="6"/>
    </row>
    <row r="1208" spans="6:6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conditionalFormatting sqref="B17">
    <cfRule type="expression" dxfId="2" priority="1">
      <formula>LEN($B$17)&gt;0</formula>
    </cfRule>
  </conditionalFormatting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9" r:id="rId4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5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6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7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9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40B23B-CF9F-46C5-B2C9-2B8B6B1FEE54}">
          <x14:formula1>
            <xm:f>_xlfn.ANCHORARRAY(Dropdown!$B$42)</xm:f>
          </x14:formula1>
          <xm:sqref>B18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660"/>
  <sheetViews>
    <sheetView zoomScale="55" zoomScaleNormal="55" workbookViewId="0">
      <selection activeCell="Q526" sqref="Q526:W526"/>
    </sheetView>
  </sheetViews>
  <sheetFormatPr defaultRowHeight="15"/>
  <cols>
    <col min="1" max="1" width="18.28515625" style="367" customWidth="1"/>
    <col min="2" max="2" width="18.140625" style="367" customWidth="1"/>
    <col min="3" max="3" width="12.85546875" style="367" bestFit="1" customWidth="1"/>
    <col min="4" max="4" width="17.140625" style="367" bestFit="1" customWidth="1"/>
    <col min="5" max="5" width="12" style="367" bestFit="1" customWidth="1"/>
    <col min="6" max="9" width="8.7109375" style="367" bestFit="1" customWidth="1"/>
    <col min="10" max="10" width="12.5703125" style="367" bestFit="1" customWidth="1"/>
    <col min="11" max="12" width="8.7109375" style="367" bestFit="1" customWidth="1"/>
    <col min="13" max="13" width="11.140625" style="367" bestFit="1" customWidth="1"/>
    <col min="14" max="15" width="9.140625" style="367"/>
    <col min="16" max="16" width="15.42578125" style="1" bestFit="1" customWidth="1"/>
    <col min="17" max="17" width="30" style="1" bestFit="1" customWidth="1"/>
    <col min="18" max="18" width="47" style="1" customWidth="1"/>
    <col min="19" max="19" width="33.140625" style="24" bestFit="1" customWidth="1"/>
    <col min="20" max="20" width="25.85546875" style="1" customWidth="1"/>
    <col min="21" max="21" width="9.140625" style="1"/>
    <col min="22" max="22" width="10" style="1" bestFit="1" customWidth="1"/>
    <col min="23" max="23" width="10.7109375" style="391" customWidth="1"/>
    <col min="24" max="16384" width="9.140625" style="367"/>
  </cols>
  <sheetData>
    <row r="1" spans="1:23">
      <c r="A1" s="372" t="s">
        <v>2111</v>
      </c>
      <c r="B1" s="404" t="s">
        <v>1788</v>
      </c>
      <c r="C1" s="404" t="s">
        <v>1693</v>
      </c>
      <c r="D1" s="404"/>
      <c r="E1" s="404"/>
      <c r="F1" s="404"/>
      <c r="G1" s="404"/>
      <c r="H1" s="404" t="s">
        <v>2113</v>
      </c>
      <c r="I1" s="404"/>
      <c r="J1" s="404"/>
      <c r="K1" s="404"/>
      <c r="L1" s="404"/>
      <c r="M1" s="404"/>
      <c r="N1" s="404"/>
      <c r="O1" s="404"/>
      <c r="P1" s="372" t="s">
        <v>1858</v>
      </c>
      <c r="Q1" s="404" t="s">
        <v>1809</v>
      </c>
      <c r="R1" s="404"/>
      <c r="S1" s="410" t="s">
        <v>1755</v>
      </c>
      <c r="T1" s="404" t="s">
        <v>1789</v>
      </c>
      <c r="U1" s="404" t="s">
        <v>102</v>
      </c>
      <c r="V1" s="404" t="s">
        <v>1839</v>
      </c>
      <c r="W1" s="55" t="s">
        <v>430</v>
      </c>
    </row>
    <row r="2" spans="1:23">
      <c r="A2" s="272" t="s">
        <v>2112</v>
      </c>
      <c r="B2" s="367" t="s">
        <v>1840</v>
      </c>
      <c r="C2" s="416">
        <v>0.01</v>
      </c>
      <c r="M2" s="405"/>
      <c r="P2" s="20" t="s">
        <v>1859</v>
      </c>
      <c r="Q2" s="1" t="s">
        <v>1810</v>
      </c>
      <c r="S2" s="24" t="s">
        <v>1922</v>
      </c>
      <c r="T2" s="1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21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2.04</v>
      </c>
    </row>
    <row r="3" spans="1:23">
      <c r="A3" s="272" t="s">
        <v>2112</v>
      </c>
      <c r="B3" s="367" t="s">
        <v>383</v>
      </c>
      <c r="C3" s="416">
        <v>0.02</v>
      </c>
      <c r="P3" s="20" t="str">
        <f>IF(OR(TRIM($A3)&lt;&gt;TRIM(Enginuity!$A$1),TRIM($C4)&lt;&gt;TRIM(Enginuity!$A$18),TRIM($U3)="",$V3="",$V3=0,$W3="",$W3=0),"",ROW())</f>
        <v/>
      </c>
      <c r="Q3" s="1" t="s">
        <v>1869</v>
      </c>
      <c r="R3" s="1" t="s">
        <v>1927</v>
      </c>
      <c r="S3" s="24">
        <v>6154</v>
      </c>
      <c r="T3" s="1" t="s">
        <v>1871</v>
      </c>
      <c r="U3" s="1" t="str">
        <f>IF($S3="","",IFERROR(_xlfn.XLOOKUP($S3,CostData!$U$22:$U$1000,CostData!$AA$22:$AA$1000,""),""))</f>
        <v>Ft</v>
      </c>
      <c r="V3" s="1" t="str">
        <f>V2</f>
        <v/>
      </c>
      <c r="W3" s="421" cm="1">
        <f t="array" ref="W3">IF(INDEX($S:$S,ROW())="","",IFERROR(_xlfn.XLOOKUP(INDEX($S:$S,ROW()),CostData!$U$22:$U$1000,CostData!$AC$22:$AC$1000,""),""))</f>
        <v>0.28687057905543556</v>
      </c>
    </row>
    <row r="4" spans="1:23">
      <c r="A4" s="272" t="s">
        <v>2112</v>
      </c>
      <c r="B4" s="367" t="s">
        <v>1842</v>
      </c>
      <c r="C4" s="416">
        <v>0.02</v>
      </c>
      <c r="P4" s="188" t="str">
        <f>IF(OR(TRIM($A4)&lt;&gt;TRIM(Enginuity!$A$1),TRIM($C5)&lt;&gt;TRIM(Enginuity!$A$18),TRIM($U4)="",$V4="",$V4=0,$W4="",$W4=0),"",ROW())</f>
        <v/>
      </c>
      <c r="Q4" s="396"/>
      <c r="R4" s="396"/>
      <c r="S4" s="411"/>
      <c r="T4" s="396"/>
      <c r="U4" s="396"/>
      <c r="V4" s="396"/>
      <c r="W4" s="422" t="str">
        <f>_xlfn.LET(_xlpm.tot,SUMPRODUCT(N(V2:V3),N(W2:W3)),IF(_xlpm.tot=0,"",_xlpm.tot))</f>
        <v/>
      </c>
    </row>
    <row r="5" spans="1:23">
      <c r="A5" s="272" t="s">
        <v>2112</v>
      </c>
      <c r="B5" s="367" t="s">
        <v>382</v>
      </c>
      <c r="C5" s="416">
        <v>0</v>
      </c>
      <c r="P5" s="372" t="str">
        <f>IF(OR(TRIM($A5)&lt;&gt;TRIM(Enginuity!$A$1),TRIM($C6)&lt;&gt;TRIM(Enginuity!$A$18),TRIM($U5)="",$V5="",$V5=0,$W5="",$W5=0),"",ROW())</f>
        <v/>
      </c>
      <c r="Q5" s="404"/>
      <c r="R5" s="404"/>
      <c r="S5" s="410"/>
      <c r="T5" s="404"/>
      <c r="U5" s="404"/>
      <c r="V5" s="404"/>
      <c r="W5" s="423" t="str" cm="1">
        <f t="array" ref="W5">IF(INDEX($S:$S,ROW())="","",IFERROR(_xlfn.XLOOKUP(INDEX($S:$S,ROW()),CostData!$U$22:$U$1000,CostData!$AC$22:$AC$1000,""),""))</f>
        <v/>
      </c>
    </row>
    <row r="6" spans="1:23">
      <c r="A6" s="272" t="s">
        <v>2112</v>
      </c>
      <c r="B6" s="367" t="s">
        <v>1841</v>
      </c>
      <c r="C6" s="416">
        <v>0.1</v>
      </c>
      <c r="P6" s="20" t="s">
        <v>1985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" t="str">
        <f>T6</f>
        <v>2" Z-Louvre Blade</v>
      </c>
      <c r="S6" s="24" t="s">
        <v>1987</v>
      </c>
      <c r="T6" s="1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480</v>
      </c>
      <c r="W6" s="421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2</v>
      </c>
    </row>
    <row r="7" spans="1:23">
      <c r="A7" s="272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" t="str">
        <f t="shared" ref="R7:R10" si="0">T7</f>
        <v>U Channel 1/2"H x 1 2/8"W</v>
      </c>
      <c r="S7" s="24" t="s">
        <v>1988</v>
      </c>
      <c r="T7" s="1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64</v>
      </c>
      <c r="W7" s="421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1.6</v>
      </c>
    </row>
    <row r="8" spans="1:23">
      <c r="A8" s="272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" t="str">
        <f t="shared" si="0"/>
        <v/>
      </c>
      <c r="T8" s="1" t="str" cm="1">
        <f t="array" ref="T8">_xlfn.LET(_xlpm.cd,INDEX($S:$S,ROW()),IF(_xlpm.cd="","",IFERROR(_xlfn.XLOOKUP(_xlpm.cd,CostData!$C$22:$C$1000,CostData!$E$22:$E$1000,""),"")))</f>
        <v/>
      </c>
      <c r="W8" s="421">
        <f>IFERROR(SUMPRODUCT(V6:V7,W6:W7)/Enginuity!$B$9,"")</f>
        <v>16.600000000000001</v>
      </c>
    </row>
    <row r="9" spans="1:23">
      <c r="A9" s="272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" t="str">
        <f t="shared" si="0"/>
        <v>5" Z-Louvre Blade</v>
      </c>
      <c r="S9" s="24" t="s">
        <v>1986</v>
      </c>
      <c r="T9" s="1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208</v>
      </c>
      <c r="W9" s="421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4.9000000000000004</v>
      </c>
    </row>
    <row r="10" spans="1:23">
      <c r="A10" s="272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" t="str">
        <f t="shared" si="0"/>
        <v>U Channel 1"H x 3"W</v>
      </c>
      <c r="S10" s="24" t="s">
        <v>1991</v>
      </c>
      <c r="T10" s="1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64</v>
      </c>
      <c r="W10" s="421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3.58</v>
      </c>
    </row>
    <row r="11" spans="1:23">
      <c r="A11" s="272"/>
      <c r="P11" s="188"/>
      <c r="Q11" s="396"/>
      <c r="R11" s="396"/>
      <c r="S11" s="411"/>
      <c r="T11" s="396"/>
      <c r="U11" s="396"/>
      <c r="V11" s="396"/>
      <c r="W11" s="422">
        <f>IFERROR(SUMPRODUCT(V9:V10,W9:W10)/Enginuity!$B$9,"")</f>
        <v>19.505000000000003</v>
      </c>
    </row>
    <row r="12" spans="1:23">
      <c r="A12" s="272"/>
      <c r="P12" s="372" t="s">
        <v>762</v>
      </c>
      <c r="Q12" s="404" t="str" cm="1">
        <f t="array" ref="Q12">_xlfn.LET(_xlpm.cd,INDEX($S:$S,ROW()),IF(_xlpm.cd="","",IFERROR(_xlfn.XLOOKUP(_xlpm.cd,CostData!$C$22:$C$1000,CostData!$B$22:$B$1000,""),"")))</f>
        <v>Aluminium</v>
      </c>
      <c r="R12" s="404" t="str">
        <f>T12</f>
        <v>Lattice</v>
      </c>
      <c r="S12" s="410" t="s">
        <v>2077</v>
      </c>
      <c r="T12" s="404" t="str" cm="1">
        <f t="array" ref="T12">_xlfn.LET(_xlpm.cd,INDEX($S:$S,ROW()),IF(_xlpm.cd="","",IFERROR(_xlfn.XLOOKUP(_xlpm.cd,CostData!$C$22:$C$1000,CostData!$E$22:$E$1000,""),"")))</f>
        <v>Lattice</v>
      </c>
      <c r="U12" s="404" t="s">
        <v>103</v>
      </c>
      <c r="V12" s="404"/>
      <c r="W12" s="423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2.27</v>
      </c>
    </row>
    <row r="13" spans="1:23">
      <c r="A13" s="272"/>
      <c r="P13" s="20" t="str">
        <f>IF(OR(TRIM($A13)&lt;&gt;TRIM(Enginuity!$A$1),TRIM($C13)&lt;&gt;TRIM(Enginuity!$A$18),TRIM($U13)="",$V13="",$V13=0,$W13="",$W13=0),"",ROW())</f>
        <v/>
      </c>
      <c r="Q13" s="1" t="s">
        <v>1869</v>
      </c>
      <c r="R13" s="1" t="s">
        <v>1927</v>
      </c>
      <c r="S13" s="24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421" cm="1">
        <f t="array" ref="W13">IF(INDEX($S:$S,ROW())="","",IFERROR(_xlfn.XLOOKUP(INDEX($S:$S,ROW()),CostData!$U$22:$U$1000,CostData!$AC$22:$AC$1000,""),""))</f>
        <v>0.20439528757699785</v>
      </c>
    </row>
    <row r="14" spans="1:23">
      <c r="A14" s="272"/>
      <c r="P14" s="20"/>
      <c r="T14" s="1" t="s">
        <v>2079</v>
      </c>
      <c r="U14" s="1" t="s">
        <v>103</v>
      </c>
      <c r="V14" s="1">
        <f>IF(OR(Enginuity!B13="",Enginuity!B6="",Enginuity!B7=""),"",Enginuity!B13*Enginuity!B7+Enginuity!B13*3*Enginuity!B6)</f>
        <v>128</v>
      </c>
      <c r="W14" s="421">
        <f>IFERROR(IF(V14="","",V14*($W$12+$W$13)),"")</f>
        <v>316.7225968098557</v>
      </c>
    </row>
    <row r="15" spans="1:23">
      <c r="A15" s="272"/>
      <c r="P15" s="20"/>
      <c r="T15" s="1" t="s">
        <v>2080</v>
      </c>
      <c r="U15" s="1" t="s">
        <v>103</v>
      </c>
      <c r="V15" s="1">
        <f>IF(OR(Enginuity!B13="",Enginuity!B6="",Enginuity!B7=""),"",Enginuity!B13*Enginuity!B7+Enginuity!B13*5*Enginuity!B6)</f>
        <v>192</v>
      </c>
      <c r="W15" s="421">
        <f t="shared" ref="W15" si="1">IFERROR(IF(V15="","",V15*($W$12+$W$13)),"")</f>
        <v>475.08389521478352</v>
      </c>
    </row>
    <row r="16" spans="1:23">
      <c r="A16" s="272"/>
      <c r="P16" s="188"/>
      <c r="Q16" s="396"/>
      <c r="R16" s="396"/>
      <c r="S16" s="411"/>
      <c r="T16" s="396" t="s">
        <v>2081</v>
      </c>
      <c r="U16" s="396" t="s">
        <v>103</v>
      </c>
      <c r="V16" s="396">
        <f>IF(OR(Enginuity!B13="",Enginuity!B6="",Enginuity!B7=""),"",Enginuity!B13*2*Enginuity!B7+Enginuity!B13*7*Enginuity!B6)</f>
        <v>288</v>
      </c>
      <c r="W16" s="422">
        <f>IFERROR(IF(V16="","",V16*($W$12+$W$13)),"")</f>
        <v>712.62584282217529</v>
      </c>
    </row>
    <row r="17" spans="1:23">
      <c r="A17" s="272"/>
      <c r="P17" s="372" t="s">
        <v>2456</v>
      </c>
      <c r="Q17" s="404" t="str" cm="1">
        <f t="array" ref="Q17">IFERROR(_xlfn.XLOOKUP(1,(TRIM(CostData!$C$22:$C$1000)=TRIM($S17))*(TRIM(CostData!$D$22:$D$1000)="Security Door Insert"),CostData!$B$22:$B$1000,""),"")</f>
        <v>Aluminium</v>
      </c>
      <c r="R17" s="404" t="str">
        <f>IF($T17="","",$T17)</f>
        <v>Outer Frame</v>
      </c>
      <c r="S17" s="410">
        <v>91715</v>
      </c>
      <c r="T17" s="404" t="str" cm="1">
        <f t="array" ref="T17">IFERROR(_xlfn.XLOOKUP(1,(TRIM(CostData!$C$22:$C$1000)=TRIM($S17))*(TRIM(CostData!$D$22:$D$1000)="Security Door Insert"),CostData!$E$22:$E$1000,""),"")</f>
        <v>Outer Frame</v>
      </c>
      <c r="U17" s="404" t="s">
        <v>103</v>
      </c>
      <c r="V17" s="404">
        <f>IFERROR(_xlfn.LET(_xlpm.p,N(Enginuity!$B$13),_xlpm.w,N(Enginuity!$B$6),_xlpm.h,N(Enginuity!$B$7),IF(OR(_xlpm.p&lt;=0,_xlpm.w&lt;=0,_xlpm.h&lt;=0),"",ROUND(2*(_xlpm.w+_xlpm.h)*_xlpm.p,2))),"")</f>
        <v>128</v>
      </c>
      <c r="W17" s="423" cm="1">
        <f t="array" ref="W17">IFERROR(_xlfn.XLOOKUP(1,(TRIM(CostData!$C$22:$C$1000)=TRIM($S17))*(TRIM(CostData!$D$22:$D$1000)="Security Door Insert"),_xlfn.SWITCH(TRIM(Enginuity!$A$19),"N/A",CostData!$H$22:$H$1000,"M/B",CostData!$I$22:$I$1000,"P/C",CostData!$J$22:$J$1000,"W/G",CostData!$K$22:$K$1000,""),""),"")</f>
        <v>8.73</v>
      </c>
    </row>
    <row r="18" spans="1:23">
      <c r="A18" s="272"/>
      <c r="P18" s="20"/>
      <c r="Q18" s="1" t="str" cm="1">
        <f t="array" ref="Q18">IFERROR(_xlfn.XLOOKUP(1,(TRIM(CostData!$C$22:$C$1000)=TRIM($S18))*(TRIM(CostData!$D$22:$D$1000)="Security Door Insert"),CostData!$B$22:$B$1000,""),"")</f>
        <v>Aluminium</v>
      </c>
      <c r="R18" s="1" t="str">
        <f>IF($T18="","",$T18)</f>
        <v>Inner Mesh</v>
      </c>
      <c r="S18" s="24">
        <v>91713</v>
      </c>
      <c r="T18" s="1" t="str" cm="1">
        <f t="array" ref="T18">IFERROR(_xlfn.XLOOKUP(1,(TRIM(CostData!$C$22:$C$1000)=TRIM($S18))*(TRIM(CostData!$D$22:$D$1000)="Security Door Insert"),CostData!$E$22:$E$1000,""),"")</f>
        <v>Inner Mesh</v>
      </c>
      <c r="U18" s="1" t="s">
        <v>103</v>
      </c>
      <c r="V18" s="1">
        <f>IFERROR(_xlfn.LET(_xlpm.p,N(Enginuity!$B$13),_xlpm.w,N(Enginuity!$B$6),_xlpm.h,N(Enginuity!$B$7),IF(OR(_xlpm.p&lt;=0,_xlpm.w&lt;=0,_xlpm.h&lt;=0),"",ROUND(2*(_xlpm.w+_xlpm.h)*_xlpm.p,2))),"")</f>
        <v>128</v>
      </c>
      <c r="W18" s="421" cm="1">
        <f t="array" ref="W18">IFERROR(_xlfn.XLOOKUP(1,(TRIM(CostData!$C$22:$C$1000)=TRIM($S18))*(TRIM(CostData!$D$22:$D$1000)="Security Door Insert"),_xlfn.SWITCH(TRIM(Enginuity!$A$19),"N/A",CostData!$H$22:$H$1000,"M/B",CostData!$I$22:$I$1000,"P/C",CostData!$J$22:$J$1000,"W/G",CostData!$K$22:$K$1000,""),""),"")</f>
        <v>6.05</v>
      </c>
    </row>
    <row r="19" spans="1:23">
      <c r="A19" s="272"/>
      <c r="P19" s="20"/>
      <c r="Q19" s="1" t="str" cm="1">
        <f t="array" ref="Q19">IFERROR(_xlfn.XLOOKUP(1,(TRIM(CostData!$C$22:$C$1000)=TRIM($S19))*(TRIM(CostData!$D$22:$D$1000)="Security Door Insert"),CostData!$B$22:$B$1000,""),"")</f>
        <v>Aluminium</v>
      </c>
      <c r="R19" s="1" t="str">
        <f>IF($T19="","",$T19)</f>
        <v>Beading Mesh</v>
      </c>
      <c r="S19" s="24">
        <v>91718</v>
      </c>
      <c r="T19" s="1" t="str" cm="1">
        <f t="array" ref="T19">IFERROR(_xlfn.XLOOKUP(1,(TRIM(CostData!$C$22:$C$1000)=TRIM($S19))*(TRIM(CostData!$D$22:$D$1000)="Security Door Insert"),CostData!$E$22:$E$1000,""),"")</f>
        <v>Beading Mesh</v>
      </c>
      <c r="U19" s="1" t="s">
        <v>103</v>
      </c>
      <c r="V19" s="1">
        <f>IFERROR(_xlfn.LET(_xlpm.p,N(Enginuity!$B$13),_xlpm.w,N(Enginuity!$B$6),_xlpm.h,N(Enginuity!$B$7),IF(OR(_xlpm.p&lt;=0,_xlpm.w&lt;=0,_xlpm.h&lt;=0),"",ROUND(2*(_xlpm.w+_xlpm.h)*_xlpm.p,2))),"")</f>
        <v>128</v>
      </c>
      <c r="W19" s="421" cm="1">
        <f t="array" ref="W19">IFERROR(_xlfn.XLOOKUP(1,(TRIM(CostData!$C$22:$C$1000)=TRIM($S19))*(TRIM(CostData!$D$22:$D$1000)="Security Door Insert"),_xlfn.SWITCH(TRIM(Enginuity!$A$19),"N/A",CostData!$H$22:$H$1000,"M/B",CostData!$I$22:$I$1000,"P/C",CostData!$J$22:$J$1000,"W/G",CostData!$K$22:$K$1000,""),""),"")</f>
        <v>1.27</v>
      </c>
    </row>
    <row r="20" spans="1:23">
      <c r="A20" s="272"/>
      <c r="P20" s="20"/>
      <c r="Q20" s="1" t="str" cm="1">
        <f t="array" ref="Q20">IFERROR(_xlfn.XLOOKUP(1,(TRIM(CostData!$C$22:$C$1000)=TRIM($S20))*(TRIM(CostData!$D$22:$D$1000)="Security Door Insert"),CostData!$B$22:$B$1000,""),"")</f>
        <v>Aluminium</v>
      </c>
      <c r="R20" s="1" t="str">
        <f>IF($T20="","",$T20)</f>
        <v>Inner Panel</v>
      </c>
      <c r="S20" s="24">
        <v>91803</v>
      </c>
      <c r="T20" s="1" t="str" cm="1">
        <f t="array" ref="T20">IFERROR(_xlfn.XLOOKUP(1,(TRIM(CostData!$C$22:$C$1000)=TRIM($S20))*(TRIM(CostData!$D$22:$D$1000)="Security Door Insert"),CostData!$E$22:$E$1000,""),"")</f>
        <v>Inner Panel</v>
      </c>
      <c r="U20" s="1" t="s">
        <v>103</v>
      </c>
      <c r="V20" s="1">
        <f>IFERROR(_xlfn.LET(_xlpm.p,N(Enginuity!$B$13),_xlpm.w,N(Enginuity!$B$6),_xlpm.h,N(Enginuity!$B$7),IF(OR(_xlpm.p&lt;=0,_xlpm.w&lt;=0,_xlpm.h&lt;=0),"",ROUND(2*(_xlpm.w+_xlpm.h)*_xlpm.p,2))),"")</f>
        <v>128</v>
      </c>
      <c r="W20" s="421" cm="1">
        <f t="array" ref="W20">IFERROR(_xlfn.XLOOKUP(1,(TRIM(CostData!$C$22:$C$1000)=TRIM($S20))*(TRIM(CostData!$D$22:$D$1000)="Security Door Insert"),_xlfn.SWITCH(TRIM(Enginuity!$A$19),"N/A",CostData!$H$22:$H$1000,"M/B",CostData!$I$22:$I$1000,"P/C",CostData!$J$22:$J$1000,"W/G",CostData!$K$22:$K$1000,""),""),"")</f>
        <v>7.14</v>
      </c>
    </row>
    <row r="21" spans="1:23">
      <c r="A21" s="272"/>
      <c r="P21" s="20"/>
      <c r="Q21" s="1" t="str">
        <f>IFERROR(_xlfn.XLOOKUP(TRIM($S21),CostData!$C$22:$C$1000,CostData!$B$22:$B$1000,""),"")</f>
        <v>Aluminium</v>
      </c>
      <c r="R21" s="1" t="str">
        <f>IF($T21="","","Slide Lock Bar")</f>
        <v>Slide Lock Bar</v>
      </c>
      <c r="S21" s="24" t="s">
        <v>2107</v>
      </c>
      <c r="T21" s="1" t="str">
        <f>IFERROR(_xlfn.XLOOKUP(TRIM($S21),CostData!$C$22:$C$1000,CostData!$E$22:$E$1000,""),"")</f>
        <v>Lock Bar</v>
      </c>
      <c r="U21" s="1" t="s">
        <v>103</v>
      </c>
      <c r="V21" s="1">
        <f>IFERROR(_xlfn.LET(_xlpm.p,N(Enginuity!$B$13),_xlpm.h,N(Enginuity!$B$7),IF(OR(_xlpm.p&lt;=0,_xlpm.h&lt;=0),"",ROUND(2*_xlpm.h*_xlpm.p,2))),"")</f>
        <v>64</v>
      </c>
      <c r="W21" s="421" cm="1">
        <f t="array" ref="W21">IFERROR(_xlfn.XLOOKUP(TRIM($S21),CostData!$C$22:$C$1000,_xlfn.SWITCH(TRIM(Enginuity!$A$19),"N/A",CostData!$H$22:$H$1000,"M/B",CostData!$I$22:$I$1000,"P/C",CostData!$J$22:$J$1000,"W/G",CostData!$K$22:$K$1000,""),""),"")</f>
        <v>1.19</v>
      </c>
    </row>
    <row r="22" spans="1:23">
      <c r="A22" s="272"/>
      <c r="P22" s="20"/>
      <c r="Q22" s="1" t="str" cm="1">
        <f t="array" ref="Q22">IFERROR(_xlfn.XLOOKUP(1,(TRIM(CostData!$U$22:$U$1000)=TRIM($S22))*(TRIM(CostData!$V$22:$V$1000)="Security Door Insert"),CostData!$T$22:$T$1000,""),"")</f>
        <v>Hinge</v>
      </c>
      <c r="R22" s="1" t="str">
        <f t="shared" ref="R22:R33" si="2">IF($T22="","",$T22)</f>
        <v>TECA Friction Hinge R/L 4"</v>
      </c>
      <c r="S22" s="24" t="s">
        <v>2461</v>
      </c>
      <c r="T22" s="1" t="str" cm="1">
        <f t="array" ref="T22">IFERROR(_xlfn.XLOOKUP(1,(TRIM(CostData!$U$22:$U$1000)=TRIM($S22))*(TRIM(CostData!$V$22:$V$1000)="Security Door Insert"),CostData!$W$22:$W$1000,""),"")</f>
        <v>TECA Friction Hinge R/L 4"</v>
      </c>
      <c r="U22" s="1" t="str" cm="1">
        <f t="array" ref="U22">IFERROR(_xlfn.XLOOKUP(1,(TRIM(CostData!$U$22:$U$1000)=TRIM($S22))*(TRIM(CostData!$V$22:$V$1000)="Security Door Insert"),CostData!$AA$22:$AA$1000,""),"")</f>
        <v>Pair</v>
      </c>
      <c r="V22" s="1">
        <f>IF(N(Enginuity!$B$13)&lt;=0,"",N(Enginuity!$B$13))</f>
        <v>4</v>
      </c>
      <c r="W22" s="421" cm="1">
        <f t="array" ref="W22">IFERROR(_xlfn.XLOOKUP(1,(TRIM(CostData!$U$22:$U$1000)=TRIM($S22))*(TRIM(CostData!$V$22:$V$1000)="Security Door Insert"),CostData!$AC$22:$AC$1000,""),"")</f>
        <v>12</v>
      </c>
    </row>
    <row r="23" spans="1:23">
      <c r="A23" s="272"/>
      <c r="P23" s="20"/>
      <c r="Q23" s="1" t="str" cm="1">
        <f t="array" ref="Q23">IFERROR(_xlfn.XLOOKUP(1,(TRIM(CostData!$U$22:$U$1000)=TRIM($S23))*(TRIM(CostData!$V$22:$V$1000)="Security Door Insert"),CostData!$T$22:$T$1000,""),"")</f>
        <v>Friction Stay</v>
      </c>
      <c r="R23" s="1" t="str">
        <f t="shared" si="2"/>
        <v>14" JIEDO SUS304 Ultra Heavy Duty Square Groove Stay (SS) Width 27mm Thickness 2.5mm - 4 Bar</v>
      </c>
      <c r="S23" s="24" t="s">
        <v>2462</v>
      </c>
      <c r="T23" s="1" t="str" cm="1">
        <f t="array" ref="T23">IFERROR(_xlfn.XLOOKUP(1,(TRIM(CostData!$U$22:$U$1000)=TRIM($S23))*(TRIM(CostData!$V$22:$V$1000)="Security Door Insert"),CostData!$W$22:$W$1000,""),"")</f>
        <v>14" JIEDO SUS304 Ultra Heavy Duty Square Groove Stay (SS) Width 27mm Thickness 2.5mm - 4 Bar</v>
      </c>
      <c r="U23" s="1" t="str" cm="1">
        <f t="array" ref="U23">IFERROR(_xlfn.XLOOKUP(1,(TRIM(CostData!$U$22:$U$1000)=TRIM($S23))*(TRIM(CostData!$V$22:$V$1000)="Security Door Insert"),CostData!$AA$22:$AA$1000,""),"")</f>
        <v>Pair</v>
      </c>
      <c r="V23" s="1">
        <f>IF(N(Enginuity!$B$13)&lt;=0,"",N(Enginuity!$B$13))</f>
        <v>4</v>
      </c>
      <c r="W23" s="421" cm="1">
        <f t="array" ref="W23">IFERROR(_xlfn.XLOOKUP(1,(TRIM(CostData!$U$22:$U$1000)=TRIM($S23))*(TRIM(CostData!$V$22:$V$1000)="Security Door Insert"),CostData!$AC$22:$AC$1000,""),"")</f>
        <v>85</v>
      </c>
    </row>
    <row r="24" spans="1:23">
      <c r="A24" s="272"/>
      <c r="P24" s="20"/>
      <c r="Q24" s="1" t="str" cm="1">
        <f t="array" ref="Q24">IFERROR(_xlfn.XLOOKUP(1,(TRIM(CostData!$U$22:$U$1000)=TRIM($S24))*(TRIM(CostData!$V$22:$V$1000)="Security Door Insert"),CostData!$T$22:$T$1000,""),"")</f>
        <v>Handle</v>
      </c>
      <c r="R24" s="1" t="str">
        <f t="shared" si="2"/>
        <v>SLH-1350MP Multipoint Transmission Lock Solid Handle (Black)</v>
      </c>
      <c r="S24" s="24" t="s">
        <v>2464</v>
      </c>
      <c r="T24" s="1" t="str" cm="1">
        <f t="array" ref="T24">IFERROR(_xlfn.XLOOKUP(1,(TRIM(CostData!$U$22:$U$1000)=TRIM($S24))*(TRIM(CostData!$V$22:$V$1000)="Security Door Insert"),CostData!$W$22:$W$1000,""),"")</f>
        <v>SLH-1350MP Multipoint Transmission Lock Solid Handle (Black)</v>
      </c>
      <c r="U24" s="1" t="str" cm="1">
        <f t="array" ref="U24">IFERROR(_xlfn.XLOOKUP(1,(TRIM(CostData!$U$22:$U$1000)=TRIM($S24))*(TRIM(CostData!$V$22:$V$1000)="Security Door Insert"),CostData!$AA$22:$AA$1000,""),"")</f>
        <v>Pcs</v>
      </c>
      <c r="V24" s="1">
        <f>IF(N(Enginuity!$B$13)&lt;=0,"",N(Enginuity!$B$13))</f>
        <v>4</v>
      </c>
      <c r="W24" s="421" cm="1">
        <f t="array" ref="W24">IFERROR(_xlfn.XLOOKUP(1,(TRIM(CostData!$U$22:$U$1000)=TRIM($S24))*(TRIM(CostData!$V$22:$V$1000)="Security Door Insert"),CostData!$AC$22:$AC$1000,""),"")</f>
        <v>45</v>
      </c>
    </row>
    <row r="25" spans="1:23">
      <c r="A25" s="272"/>
      <c r="P25" s="20"/>
      <c r="Q25" s="1" t="str" cm="1">
        <f t="array" ref="Q25">IFERROR(_xlfn.XLOOKUP(1,(TRIM(CostData!$U$22:$U$1000)=TRIM($S25))*(TRIM(CostData!$V$22:$V$1000)="Security Door Insert"),CostData!$T$22:$T$1000,""),"")</f>
        <v>Lock</v>
      </c>
      <c r="R25" s="1" t="str">
        <f t="shared" si="2"/>
        <v>T011 Transmission Lockcase With Push Rod (20mm)</v>
      </c>
      <c r="S25" s="24" t="s">
        <v>2466</v>
      </c>
      <c r="T25" s="1" t="str" cm="1">
        <f t="array" ref="T25">IFERROR(_xlfn.XLOOKUP(1,(TRIM(CostData!$U$22:$U$1000)=TRIM($S25))*(TRIM(CostData!$V$22:$V$1000)="Security Door Insert"),CostData!$W$22:$W$1000,""),"")</f>
        <v>T011 Transmission Lockcase With Push Rod (20mm)</v>
      </c>
      <c r="U25" s="1" t="str" cm="1">
        <f t="array" ref="U25">IFERROR(_xlfn.XLOOKUP(1,(TRIM(CostData!$U$22:$U$1000)=TRIM($S25))*(TRIM(CostData!$V$22:$V$1000)="Security Door Insert"),CostData!$AA$22:$AA$1000,""),"")</f>
        <v>Pcs</v>
      </c>
      <c r="V25" s="1">
        <f>IF(N(Enginuity!$B$13)&lt;=0,"",2*N(Enginuity!$B$13))</f>
        <v>8</v>
      </c>
      <c r="W25" s="421" cm="1">
        <f t="array" ref="W25">IFERROR(_xlfn.XLOOKUP(1,(TRIM(CostData!$U$22:$U$1000)=TRIM($S25))*(TRIM(CostData!$V$22:$V$1000)="Security Door Insert"),CostData!$AC$22:$AC$1000,""),"")</f>
        <v>12</v>
      </c>
    </row>
    <row r="26" spans="1:23">
      <c r="A26" s="272"/>
      <c r="P26" s="20"/>
      <c r="Q26" s="1" t="str" cm="1">
        <f t="array" ref="Q26">IFERROR(_xlfn.XLOOKUP(1,(TRIM(CostData!$U$22:$U$1000)=TRIM($S26))*(TRIM(CostData!$V$22:$V$1000)="Security Door Insert"),CostData!$T$22:$T$1000,""),"")</f>
        <v>Handle</v>
      </c>
      <c r="R26" s="1" t="str">
        <f t="shared" si="2"/>
        <v>CD7770 Canter Multi-Point Handle (Black)</v>
      </c>
      <c r="S26" s="24" t="s">
        <v>2468</v>
      </c>
      <c r="T26" s="1" t="str" cm="1">
        <f t="array" ref="T26">IFERROR(_xlfn.XLOOKUP(1,(TRIM(CostData!$U$22:$U$1000)=TRIM($S26))*(TRIM(CostData!$V$22:$V$1000)="Security Door Insert"),CostData!$W$22:$W$1000,""),"")</f>
        <v>CD7770 Canter Multi-Point Handle (Black)</v>
      </c>
      <c r="U26" s="1" t="str" cm="1">
        <f t="array" ref="U26">IFERROR(_xlfn.XLOOKUP(1,(TRIM(CostData!$U$22:$U$1000)=TRIM($S26))*(TRIM(CostData!$V$22:$V$1000)="Security Door Insert"),CostData!$AA$22:$AA$1000,""),"")</f>
        <v>Pcs</v>
      </c>
      <c r="V26" s="1">
        <f>IF(N(Enginuity!$B$13)&lt;=0,"",N(Enginuity!$B$13))</f>
        <v>4</v>
      </c>
      <c r="W26" s="421" cm="1">
        <f t="array" ref="W26">IFERROR(_xlfn.XLOOKUP(1,(TRIM(CostData!$U$22:$U$1000)=TRIM($S26))*(TRIM(CostData!$V$22:$V$1000)="Security Door Insert"),CostData!$AC$22:$AC$1000,""),"")</f>
        <v>18</v>
      </c>
    </row>
    <row r="27" spans="1:23">
      <c r="A27" s="272"/>
      <c r="P27" s="20"/>
      <c r="Q27" s="1" t="str" cm="1">
        <f t="array" ref="Q27">IFERROR(_xlfn.XLOOKUP(1,(TRIM(CostData!$U$22:$U$1000)=TRIM($S27))*(TRIM(CostData!$V$22:$V$1000)="Security Door Insert"),CostData!$T$22:$T$1000,""),"")</f>
        <v>Lock</v>
      </c>
      <c r="R27" s="1" t="str">
        <f t="shared" si="2"/>
        <v>TC-66 Lock Cam (12mm)</v>
      </c>
      <c r="S27" s="24" t="s">
        <v>2470</v>
      </c>
      <c r="T27" s="1" t="str" cm="1">
        <f t="array" ref="T27">IFERROR(_xlfn.XLOOKUP(1,(TRIM(CostData!$U$22:$U$1000)=TRIM($S27))*(TRIM(CostData!$V$22:$V$1000)="Security Door Insert"),CostData!$W$22:$W$1000,""),"")</f>
        <v>TC-66 Lock Cam (12mm)</v>
      </c>
      <c r="U27" s="1" t="str" cm="1">
        <f t="array" ref="U27">IFERROR(_xlfn.XLOOKUP(1,(TRIM(CostData!$U$22:$U$1000)=TRIM($S27))*(TRIM(CostData!$V$22:$V$1000)="Security Door Insert"),CostData!$AA$22:$AA$1000,""),"")</f>
        <v>Pcs</v>
      </c>
      <c r="V27" s="1">
        <f>IF(N(Enginuity!$B$13)&lt;=0,"",8*N(Enginuity!$B$13))</f>
        <v>32</v>
      </c>
      <c r="W27" s="421" cm="1">
        <f t="array" ref="W27">IFERROR(_xlfn.XLOOKUP(1,(TRIM(CostData!$U$22:$U$1000)=TRIM($S27))*(TRIM(CostData!$V$22:$V$1000)="Security Door Insert"),CostData!$AC$22:$AC$1000,""),"")</f>
        <v>1.2</v>
      </c>
    </row>
    <row r="28" spans="1:23">
      <c r="A28" s="272"/>
      <c r="P28" s="20"/>
      <c r="Q28" s="1" t="str" cm="1">
        <f t="array" ref="Q28">IFERROR(_xlfn.XLOOKUP(1,(TRIM(CostData!$U$22:$U$1000)=TRIM($S28))*(TRIM(CostData!$V$22:$V$1000)="Security Door Insert"),CostData!$T$22:$T$1000,""),"")</f>
        <v>Lock</v>
      </c>
      <c r="R28" s="1" t="str">
        <f t="shared" si="2"/>
        <v>MKP-034s Multipoint Keeper (11mm) - Small</v>
      </c>
      <c r="S28" s="24" t="s">
        <v>2472</v>
      </c>
      <c r="T28" s="1" t="str" cm="1">
        <f t="array" ref="T28">IFERROR(_xlfn.XLOOKUP(1,(TRIM(CostData!$U$22:$U$1000)=TRIM($S28))*(TRIM(CostData!$V$22:$V$1000)="Security Door Insert"),CostData!$W$22:$W$1000,""),"")</f>
        <v>MKP-034s Multipoint Keeper (11mm) - Small</v>
      </c>
      <c r="U28" s="1" t="str" cm="1">
        <f t="array" ref="U28">IFERROR(_xlfn.XLOOKUP(1,(TRIM(CostData!$U$22:$U$1000)=TRIM($S28))*(TRIM(CostData!$V$22:$V$1000)="Security Door Insert"),CostData!$AA$22:$AA$1000,""),"")</f>
        <v>Pcs</v>
      </c>
      <c r="V28" s="1">
        <f>IF(N(Enginuity!$B$13)&lt;=0,"",8*N(Enginuity!$B$13))</f>
        <v>32</v>
      </c>
      <c r="W28" s="421" cm="1">
        <f t="array" ref="W28">IFERROR(_xlfn.XLOOKUP(1,(TRIM(CostData!$U$22:$U$1000)=TRIM($S28))*(TRIM(CostData!$V$22:$V$1000)="Security Door Insert"),CostData!$AC$22:$AC$1000,""),"")</f>
        <v>0.8</v>
      </c>
    </row>
    <row r="29" spans="1:23">
      <c r="A29" s="272"/>
      <c r="P29" s="20"/>
      <c r="Q29" s="1" t="str" cm="1">
        <f t="array" ref="Q29">IFERROR(_xlfn.XLOOKUP(1,(TRIM(CostData!$U$22:$U$1000)=TRIM($S29))*(TRIM(CostData!$V$22:$V$1000)="Security Door Insert"),CostData!$T$22:$T$1000,""),"")</f>
        <v>Bracket</v>
      </c>
      <c r="R29" s="1" t="str">
        <f t="shared" si="2"/>
        <v>MP-19640 Corner Bracket 19.6mm x 40mm x 14mm</v>
      </c>
      <c r="S29" s="24" t="s">
        <v>2474</v>
      </c>
      <c r="T29" s="1" t="str" cm="1">
        <f t="array" ref="T29">IFERROR(_xlfn.XLOOKUP(1,(TRIM(CostData!$U$22:$U$1000)=TRIM($S29))*(TRIM(CostData!$V$22:$V$1000)="Security Door Insert"),CostData!$W$22:$W$1000,""),"")</f>
        <v>MP-19640 Corner Bracket 19.6mm x 40mm x 14mm</v>
      </c>
      <c r="U29" s="1" t="str" cm="1">
        <f t="array" ref="U29">IFERROR(_xlfn.XLOOKUP(1,(TRIM(CostData!$U$22:$U$1000)=TRIM($S29))*(TRIM(CostData!$V$22:$V$1000)="Security Door Insert"),CostData!$AA$22:$AA$1000,""),"")</f>
        <v>Pcs</v>
      </c>
      <c r="V29" s="1">
        <f>IF(N(Enginuity!$B$13)&lt;=0,"",20*N(Enginuity!$B$13))</f>
        <v>80</v>
      </c>
      <c r="W29" s="421" cm="1">
        <f t="array" ref="W29">IFERROR(_xlfn.XLOOKUP(1,(TRIM(CostData!$U$22:$U$1000)=TRIM($S29))*(TRIM(CostData!$V$22:$V$1000)="Security Door Insert"),CostData!$AC$22:$AC$1000,""),"")</f>
        <v>1.3</v>
      </c>
    </row>
    <row r="30" spans="1:23">
      <c r="A30" s="272"/>
      <c r="P30" s="20"/>
      <c r="Q30" s="1" t="str" cm="1">
        <f t="array" ref="Q30">IFERROR(_xlfn.XLOOKUP(1,(TRIM(CostData!$U$22:$U$1000)=TRIM($S30))*(TRIM(CostData!$V$22:$V$1000)="Security Door Insert"),CostData!$T$22:$T$1000,""),"")</f>
        <v>Bracket</v>
      </c>
      <c r="R30" s="1" t="str">
        <f t="shared" si="2"/>
        <v>MP-26550 Corner Bracket 26.5mm x 50mm x 4.0mm</v>
      </c>
      <c r="S30" s="24" t="s">
        <v>2476</v>
      </c>
      <c r="T30" s="1" t="str" cm="1">
        <f t="array" ref="T30">IFERROR(_xlfn.XLOOKUP(1,(TRIM(CostData!$U$22:$U$1000)=TRIM($S30))*(TRIM(CostData!$V$22:$V$1000)="Security Door Insert"),CostData!$W$22:$W$1000,""),"")</f>
        <v>MP-26550 Corner Bracket 26.5mm x 50mm x 4.0mm</v>
      </c>
      <c r="U30" s="1" t="str" cm="1">
        <f t="array" ref="U30">IFERROR(_xlfn.XLOOKUP(1,(TRIM(CostData!$U$22:$U$1000)=TRIM($S30))*(TRIM(CostData!$V$22:$V$1000)="Security Door Insert"),CostData!$AA$22:$AA$1000,""),"")</f>
        <v>Pcs</v>
      </c>
      <c r="V30" s="1">
        <f>IF(N(Enginuity!$B$13)&lt;=0,"",20*N(Enginuity!$B$13))</f>
        <v>80</v>
      </c>
      <c r="W30" s="421" cm="1">
        <f t="array" ref="W30">IFERROR(_xlfn.XLOOKUP(1,(TRIM(CostData!$U$22:$U$1000)=TRIM($S30))*(TRIM(CostData!$V$22:$V$1000)="Security Door Insert"),CostData!$AC$22:$AC$1000,""),"")</f>
        <v>1.5</v>
      </c>
    </row>
    <row r="31" spans="1:23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0"/>
      <c r="Q31" s="1" t="str" cm="1">
        <f t="array" ref="Q31">IFERROR(_xlfn.XLOOKUP(1,(TRIM(CostData!$U$22:$U$1000)=TRIM($S31))*(TRIM(CostData!$V$22:$V$1000)="Security Door Insert"),CostData!$T$22:$T$1000,""),"")</f>
        <v>Gasket</v>
      </c>
      <c r="R31" s="1" t="str">
        <f t="shared" si="2"/>
        <v>Outer Gasket 6980</v>
      </c>
      <c r="S31" s="24">
        <v>6980</v>
      </c>
      <c r="T31" s="1" t="str" cm="1">
        <f t="array" ref="T31">IFERROR(_xlfn.XLOOKUP(1,(TRIM(CostData!$U$22:$U$1000)=TRIM($S31))*(TRIM(CostData!$V$22:$V$1000)="Security Door Insert"),CostData!$W$22:$W$1000,""),"")</f>
        <v>Outer Gasket 6980</v>
      </c>
      <c r="U31" s="1" t="str" cm="1">
        <f t="array" ref="U31">IFERROR(_xlfn.XLOOKUP(1,(TRIM(CostData!$U$22:$U$1000)=TRIM($S31))*(TRIM(CostData!$V$22:$V$1000)="Security Door Insert"),CostData!$AA$22:$AA$1000,""),"")</f>
        <v>Ft</v>
      </c>
      <c r="V31" s="1">
        <f>IFERROR(_xlfn.LET(_xlpm.p,N(Enginuity!$B$13),_xlpm.w,N(Enginuity!$B$6),_xlpm.h,N(Enginuity!$B$7),IF(OR(_xlpm.p&lt;=0,_xlpm.w&lt;=0,_xlpm.h&lt;=0),"",ROUND(4*(_xlpm.w+_xlpm.h)*_xlpm.p,2))),"")</f>
        <v>256</v>
      </c>
      <c r="W31" s="57" cm="1">
        <f t="array" ref="W31">IFERROR(_xlfn.XLOOKUP(1,(TRIM(CostData!$U$22:$U$1000)=TRIM($S31))*(TRIM(CostData!$V$22:$V$1000)="Security Door Insert"),CostData!$AC$22:$AC$1000,""),"")</f>
        <v>0.2</v>
      </c>
    </row>
    <row r="32" spans="1:23">
      <c r="A32" s="272"/>
      <c r="M32" s="405"/>
      <c r="P32" s="20"/>
      <c r="Q32" s="1" t="str" cm="1">
        <f t="array" ref="Q32">IFERROR(_xlfn.XLOOKUP(1,(TRIM(CostData!$U$22:$U$1000)=TRIM($S32))*(TRIM(CostData!$V$22:$V$1000)="Security Door Insert"),CostData!$T$22:$T$1000,""),"")</f>
        <v>Gasket</v>
      </c>
      <c r="R32" s="1" t="str">
        <f t="shared" si="2"/>
        <v>Inner Gasket 2474</v>
      </c>
      <c r="S32" s="24">
        <v>2474</v>
      </c>
      <c r="T32" s="1" t="str" cm="1">
        <f t="array" ref="T32">IFERROR(_xlfn.XLOOKUP(1,(TRIM(CostData!$U$22:$U$1000)=TRIM($S32))*(TRIM(CostData!$V$22:$V$1000)="Security Door Insert"),CostData!$W$22:$W$1000,""),"")</f>
        <v>Inner Gasket 2474</v>
      </c>
      <c r="U32" s="1" t="str" cm="1">
        <f t="array" ref="U32">IFERROR(_xlfn.XLOOKUP(1,(TRIM(CostData!$U$22:$U$1000)=TRIM($S32))*(TRIM(CostData!$V$22:$V$1000)="Security Door Insert"),CostData!$AA$22:$AA$1000,""),"")</f>
        <v>Ft</v>
      </c>
      <c r="V32" s="1">
        <f>IFERROR(_xlfn.LET(_xlpm.p,N(Enginuity!$B$13),_xlpm.w,N(Enginuity!$B$6),_xlpm.h,N(Enginuity!$B$7),IF(OR(_xlpm.p&lt;=0,_xlpm.w&lt;=0,_xlpm.h&lt;=0),"",ROUND(4*(_xlpm.w+_xlpm.h)*_xlpm.p,2))),"")</f>
        <v>256</v>
      </c>
      <c r="W32" s="421" cm="1">
        <f t="array" ref="W32">IFERROR(_xlfn.XLOOKUP(1,(TRIM(CostData!$U$22:$U$1000)=TRIM($S32))*(TRIM(CostData!$V$22:$V$1000)="Security Door Insert"),CostData!$AC$22:$AC$1000,""),"")</f>
        <v>0.2</v>
      </c>
    </row>
    <row r="33" spans="1:23">
      <c r="A33" s="272"/>
      <c r="P33" s="20"/>
      <c r="Q33" s="1" t="s">
        <v>2480</v>
      </c>
      <c r="R33" s="1" t="str">
        <f t="shared" si="2"/>
        <v>Black Stainless Steel Mesh 1.0mm</v>
      </c>
      <c r="S33" s="24" t="s">
        <v>1421</v>
      </c>
      <c r="T33" s="1" t="s">
        <v>1421</v>
      </c>
      <c r="U33" s="1" t="s">
        <v>121</v>
      </c>
      <c r="V33" s="1">
        <f>IFERROR(_xlfn.LET(_xlpm.p,N(Enginuity!$B$13),_xlpm.w,N(Enginuity!$B$6),_xlpm.h,N(Enginuity!$B$7),IF(OR(_xlpm.p&lt;=0,_xlpm.w&lt;=0,_xlpm.h&lt;=0),"",ROUND(_xlpm.w*_xlpm.h*_xlpm.p,2))),"")</f>
        <v>256</v>
      </c>
      <c r="W33" s="421">
        <f>IFERROR(_xlfn.XLOOKUP(TRIM($S33),CostData!$P$3:$P$1000,CostData!$Q$3:$Q$1000,""),"")</f>
        <v>18.75</v>
      </c>
    </row>
    <row r="34" spans="1:23">
      <c r="A34" s="272"/>
      <c r="P34" s="188"/>
      <c r="Q34" s="396"/>
      <c r="R34" s="396"/>
      <c r="S34" s="411"/>
      <c r="T34" s="396" t="s">
        <v>2481</v>
      </c>
      <c r="U34" s="396" t="s">
        <v>176</v>
      </c>
      <c r="V34" s="396">
        <v>1</v>
      </c>
      <c r="W34" s="422" cm="1">
        <f t="array" ref="W34">IF(SUMPRODUCT(--(V17:V33&gt;0))=0,"",IF(SUMPRODUCT(--(V17:V33&gt;0),--(W17:W33=""))&gt;0,"",ROUND(SUMPRODUCT(V17:V33,W17:W33),2)))</f>
        <v>8970.8799999999992</v>
      </c>
    </row>
    <row r="35" spans="1:23">
      <c r="A35" s="272"/>
      <c r="W35" s="421"/>
    </row>
    <row r="36" spans="1:23">
      <c r="A36" s="272"/>
      <c r="W36" s="421"/>
    </row>
    <row r="37" spans="1:23">
      <c r="A37" s="272"/>
      <c r="P37" s="1" t="str">
        <f>IF(OR(TRIM($A37)&lt;&gt;TRIM(Enginuity!$A$1),TRIM($C37)&lt;&gt;TRIM(Enginuity!$A$18),TRIM($U37)="",$V37="",$V37=0,$W37="",$W37=0),"",ROW())</f>
        <v/>
      </c>
      <c r="W37" s="421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>
      <c r="A38" s="272"/>
      <c r="P38" s="1" t="str">
        <f>IF(OR(TRIM($A38)&lt;&gt;TRIM(Enginuity!$A$1),TRIM($C38)&lt;&gt;TRIM(Enginuity!$A$18),TRIM($U38)="",$V38="",$V38=0,$W38="",$W38=0),"",ROW())</f>
        <v/>
      </c>
      <c r="W38" s="421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>
      <c r="A39" s="272"/>
      <c r="P39" s="1" t="str">
        <f>IF(OR(TRIM($A39)&lt;&gt;TRIM(Enginuity!$A$1),TRIM($C39)&lt;&gt;TRIM(Enginuity!$A$18),TRIM($U39)="",$V39="",$V39=0,$W39="",$W39=0),"",ROW())</f>
        <v/>
      </c>
      <c r="W39" s="421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>
      <c r="A40" s="272"/>
      <c r="W40" s="421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>
      <c r="A41" s="272"/>
      <c r="W41" s="421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>
      <c r="A42" s="272"/>
      <c r="W42" s="421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>
      <c r="A43" s="272"/>
      <c r="W43" s="421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>
      <c r="A44" s="272"/>
      <c r="W44" s="421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>
      <c r="A45" s="272"/>
      <c r="P45" s="1" t="str">
        <f>IF(OR(TRIM($A45)&lt;&gt;TRIM(Enginuity!$A$1),TRIM($C45)&lt;&gt;TRIM(Enginuity!$A$18),TRIM($U45)="",$V45="",$V45=0,$W45="",$W45=0),"",ROW())</f>
        <v/>
      </c>
      <c r="W45" s="421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>
      <c r="A46" s="272"/>
      <c r="P46" s="1" t="str">
        <f>IF(OR(TRIM($A46)&lt;&gt;TRIM(Enginuity!$A$1),TRIM($C46)&lt;&gt;TRIM(Enginuity!$A$18),TRIM($U46)="",$V46="",$V46=0,$W46="",$W46=0),"",ROW())</f>
        <v/>
      </c>
      <c r="W46" s="421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>
      <c r="A47" s="272"/>
      <c r="P47" s="1" t="str">
        <f>IF(OR(TRIM($A47)&lt;&gt;TRIM(Enginuity!$A$1),TRIM($C47)&lt;&gt;TRIM(Enginuity!$A$18),TRIM($U47)="",$V47="",$V47=0,$W47="",$W47=0),"",ROW())</f>
        <v/>
      </c>
      <c r="W47" s="421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>
      <c r="A48" s="272"/>
      <c r="P48" s="1" t="str">
        <f>IF(OR(TRIM($A48)&lt;&gt;TRIM(Enginuity!$A$1),TRIM($C48)&lt;&gt;TRIM(Enginuity!$A$18),TRIM($U48)="",$V48="",$V48=0,$W48="",$W48=0),"",ROW())</f>
        <v/>
      </c>
      <c r="W48" s="421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>
      <c r="A49" s="272"/>
      <c r="P49" s="1" t="str">
        <f>IF(OR(TRIM($A49)&lt;&gt;TRIM(Enginuity!$A$1),TRIM($C49)&lt;&gt;TRIM(Enginuity!$A$18),TRIM($U49)="",$V49="",$V49=0,$W49="",$W49=0),"",ROW())</f>
        <v/>
      </c>
      <c r="W49" s="421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>
      <c r="A50" s="272"/>
      <c r="P50" s="1" t="str">
        <f>IF(OR(TRIM($A50)&lt;&gt;TRIM(Enginuity!$A$1),TRIM($C50)&lt;&gt;TRIM(Enginuity!$A$18),TRIM($U50)="",$V50="",$V50=0,$W50="",$W50=0),"",ROW())</f>
        <v/>
      </c>
      <c r="W50" s="421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>
      <c r="A51" s="272"/>
      <c r="P51" s="1" t="str">
        <f>IF(OR(TRIM($A51)&lt;&gt;TRIM(Enginuity!$A$1),TRIM($C51)&lt;&gt;TRIM(Enginuity!$A$18),TRIM($U51)="",$V51="",$V51=0,$W51="",$W51=0),"",ROW())</f>
        <v/>
      </c>
      <c r="W51" s="421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>
      <c r="A52" s="272"/>
      <c r="P52" s="1" t="str">
        <f>IF(OR(TRIM($A52)&lt;&gt;TRIM(Enginuity!$A$1),TRIM($C52)&lt;&gt;TRIM(Enginuity!$A$18),TRIM($U52)="",$V52="",$V52=0,$W52="",$W52=0),"",ROW())</f>
        <v/>
      </c>
      <c r="W52" s="421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>
      <c r="A53" s="272"/>
      <c r="P53" s="1" t="str">
        <f>IF(OR(TRIM($A53)&lt;&gt;TRIM(Enginuity!$A$1),TRIM($C53)&lt;&gt;TRIM(Enginuity!$A$18),TRIM($U53)="",$V53="",$V53=0,$W53="",$W53=0),"",ROW())</f>
        <v/>
      </c>
      <c r="W53" s="421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>
      <c r="A54" s="272"/>
      <c r="P54" s="1" t="str">
        <f>IF(OR(TRIM($A54)&lt;&gt;TRIM(Enginuity!$A$1),TRIM($C54)&lt;&gt;TRIM(Enginuity!$A$18),TRIM($U54)="",$V54="",$V54=0,$W54="",$W54=0),"",ROW())</f>
        <v/>
      </c>
      <c r="W54" s="421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>
      <c r="A55" s="272"/>
      <c r="P55" s="1" t="str">
        <f>IF(OR(TRIM($A55)&lt;&gt;TRIM(Enginuity!$A$1),TRIM($C55)&lt;&gt;TRIM(Enginuity!$A$18),TRIM($U55)="",$V55="",$V55=0,$W55="",$W55=0),"",ROW())</f>
        <v/>
      </c>
      <c r="W55" s="421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>
      <c r="A56" s="272"/>
      <c r="P56" s="1" t="str">
        <f>IF(OR(TRIM($A56)&lt;&gt;TRIM(Enginuity!$A$1),TRIM($C56)&lt;&gt;TRIM(Enginuity!$A$18),TRIM($U56)="",$V56="",$V56=0,$W56="",$W56=0),"",ROW())</f>
        <v/>
      </c>
      <c r="W56" s="421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>
      <c r="A57" s="272"/>
      <c r="P57" s="1" t="str">
        <f>IF(OR(TRIM($A57)&lt;&gt;TRIM(Enginuity!$A$1),TRIM($C57)&lt;&gt;TRIM(Enginuity!$A$18),TRIM($U57)="",$V57="",$V57=0,$W57="",$W57=0),"",ROW())</f>
        <v/>
      </c>
      <c r="W57" s="421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>
      <c r="A58" s="272"/>
      <c r="P58" s="1" t="str">
        <f>IF(OR(TRIM($A58)&lt;&gt;TRIM(Enginuity!$A$1),TRIM($C58)&lt;&gt;TRIM(Enginuity!$A$18),TRIM($U58)="",$V58="",$V58=0,$W58="",$W58=0),"",ROW())</f>
        <v/>
      </c>
      <c r="W58" s="421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>
      <c r="A59" s="272"/>
      <c r="P59" s="1" t="str">
        <f>IF(OR(TRIM($A59)&lt;&gt;TRIM(Enginuity!$A$1),TRIM($C59)&lt;&gt;TRIM(Enginuity!$A$18),TRIM($U59)="",$V59="",$V59=0,$W59="",$W59=0),"",ROW())</f>
        <v/>
      </c>
      <c r="W59" s="421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>
      <c r="A60" s="372" t="str">
        <f>"▼ [Product Group]"</f>
        <v>▼ [Product Group]</v>
      </c>
      <c r="B60" s="404" t="str">
        <f>"▼ [Service Mode]"</f>
        <v>▼ [Service Mode]</v>
      </c>
      <c r="C60" s="404" t="str">
        <f>"▼ [Product Type]"</f>
        <v>▼ [Product Type]</v>
      </c>
      <c r="D60" s="404" t="str">
        <f>"▼ [Frame Finish]"</f>
        <v>▼ [Frame Finish]</v>
      </c>
      <c r="E60" s="404" t="str">
        <f>"▼ [Panel / Infill]"</f>
        <v>▼ [Panel / Infill]</v>
      </c>
      <c r="F60" s="404" t="s">
        <v>1829</v>
      </c>
      <c r="G60" s="404" t="s">
        <v>1830</v>
      </c>
      <c r="H60" s="404" t="s">
        <v>1831</v>
      </c>
      <c r="I60" s="404" t="s">
        <v>1832</v>
      </c>
      <c r="J60" s="404" t="s">
        <v>1833</v>
      </c>
      <c r="K60" s="404" t="s">
        <v>1834</v>
      </c>
      <c r="L60" s="404" t="s">
        <v>1835</v>
      </c>
      <c r="M60" s="404" t="s">
        <v>1836</v>
      </c>
      <c r="N60" s="404" t="s">
        <v>1837</v>
      </c>
      <c r="O60" s="404" t="s">
        <v>1958</v>
      </c>
      <c r="P60" s="404" t="s">
        <v>1838</v>
      </c>
      <c r="Q60" s="404" t="s">
        <v>1809</v>
      </c>
      <c r="R60" s="404" t="s">
        <v>1868</v>
      </c>
      <c r="S60" s="410" t="s">
        <v>1755</v>
      </c>
      <c r="T60" s="404" t="s">
        <v>1789</v>
      </c>
      <c r="U60" s="404" t="s">
        <v>102</v>
      </c>
      <c r="V60" s="404" t="s">
        <v>1839</v>
      </c>
      <c r="W60" s="55" t="s">
        <v>430</v>
      </c>
    </row>
    <row r="61" spans="1:23">
      <c r="A61" s="272" t="s">
        <v>2443</v>
      </c>
      <c r="B61" s="367" t="s">
        <v>1840</v>
      </c>
      <c r="C61" s="367" t="s">
        <v>3</v>
      </c>
      <c r="D61" s="367" t="s">
        <v>1791</v>
      </c>
      <c r="E61" s="367" t="str" cm="1">
        <f t="array" ref="E61:E70">IFERROR(INDEX(_xlfn._xlws.FILTER(CostData!$P$3:$P$12,CostData!$P$3:$P$12&lt;&gt;""),_xlfn.SEQUENCE(10)),"")</f>
        <v>Default</v>
      </c>
      <c r="G61" s="367" t="str">
        <f>"▼ [Fix - Casement]"</f>
        <v>▼ [Fix - Casement]</v>
      </c>
      <c r="H61" s="367" t="str">
        <f>"▼ [Hung Window - Casement]"</f>
        <v>▼ [Hung Window - Casement]</v>
      </c>
      <c r="I61" s="367" t="s">
        <v>1852</v>
      </c>
      <c r="J61" s="367" t="s">
        <v>1853</v>
      </c>
      <c r="K61" s="367" t="s">
        <v>1854</v>
      </c>
      <c r="L61" s="367" t="s">
        <v>1855</v>
      </c>
      <c r="M61" s="405">
        <v>0.54644999999999999</v>
      </c>
      <c r="N61" s="367">
        <v>609.6</v>
      </c>
      <c r="O61" s="367" t="s">
        <v>1950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" t="s">
        <v>1811</v>
      </c>
      <c r="S61" s="24" t="s">
        <v>1919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W61" s="421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>
      <c r="A62" s="272" t="s">
        <v>2443</v>
      </c>
      <c r="B62" s="367" t="s">
        <v>1842</v>
      </c>
      <c r="C62" s="367" t="s">
        <v>3</v>
      </c>
      <c r="D62" s="367" t="s">
        <v>1813</v>
      </c>
      <c r="E62" s="367" t="str">
        <v>Black Aluminium Mesh 1.6mm</v>
      </c>
      <c r="G62" s="367" t="s">
        <v>1860</v>
      </c>
      <c r="H62" s="367" t="s">
        <v>1860</v>
      </c>
      <c r="O62" s="367" t="s">
        <v>1951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" t="s">
        <v>1843</v>
      </c>
      <c r="S62" s="24" t="s">
        <v>1920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80</v>
      </c>
      <c r="W62" s="421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>
      <c r="A63" s="272" t="s">
        <v>2443</v>
      </c>
      <c r="B63" s="367" t="s">
        <v>382</v>
      </c>
      <c r="C63" s="367" t="s">
        <v>3</v>
      </c>
      <c r="D63" s="367" t="s">
        <v>1792</v>
      </c>
      <c r="E63" s="367" t="str">
        <v>Black Aluminium Mesh 1.8mm</v>
      </c>
      <c r="G63" s="367" t="s">
        <v>1861</v>
      </c>
      <c r="H63" s="367" t="s">
        <v>1861</v>
      </c>
      <c r="O63" s="367" t="s">
        <v>1952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" t="s">
        <v>1857</v>
      </c>
      <c r="S63" s="24" t="s">
        <v>1921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24</v>
      </c>
      <c r="W63" s="421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>
      <c r="A64" s="272" t="s">
        <v>2443</v>
      </c>
      <c r="B64" s="367" t="s">
        <v>1841</v>
      </c>
      <c r="C64" s="367" t="s">
        <v>3</v>
      </c>
      <c r="D64" s="367" t="s">
        <v>1814</v>
      </c>
      <c r="E64" s="367" t="str">
        <v>Black Stainless Steel Mesh 1.0mm</v>
      </c>
      <c r="G64" s="367" t="s">
        <v>1862</v>
      </c>
      <c r="H64" s="367" t="s">
        <v>1862</v>
      </c>
      <c r="O64" s="367" t="s">
        <v>1953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" t="s">
        <v>1856</v>
      </c>
      <c r="S64" s="24" t="s">
        <v>1921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21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>
      <c r="A65" s="272" t="s">
        <v>2443</v>
      </c>
      <c r="C65" s="367" t="s">
        <v>3</v>
      </c>
      <c r="E65" s="367" t="str">
        <v/>
      </c>
      <c r="G65" s="367" t="s">
        <v>1863</v>
      </c>
      <c r="H65" s="367" t="s">
        <v>1863</v>
      </c>
      <c r="O65" s="367" t="s">
        <v>1954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">
        <v>762</v>
      </c>
      <c r="R65" s="9" t="str">
        <f>S65</f>
        <v>Breezway 102mm Glass Infill</v>
      </c>
      <c r="S65" s="417" t="str">
        <f>Enginuity!$A$21</f>
        <v>Breezway 102mm Glass Infill</v>
      </c>
      <c r="T65" s="9" t="str">
        <f>S65</f>
        <v>Breezway 102mm Glass Infill</v>
      </c>
      <c r="U65" s="1" t="s">
        <v>176</v>
      </c>
      <c r="V65" s="1" cm="1">
        <f t="array" ref="V65">_xlfn.LET(_xlpm.vSel,TRIM(SUBSTITUTE(Enginuity!$A$21,CHAR(160)," ")),_xlpm.vCode,TRIM(SUBSTITUTE(INDEX(S:S,ROW()),CHAR(160)," ")),IF(AND(_xlpm.vSel&lt;&gt;"",_xlpm.vCode&lt;&gt;"",_xlpm.vSel=_xlpm.vCode),1,""))</f>
        <v>1</v>
      </c>
      <c r="W65" s="421" t="str" cm="1">
        <f t="array" ref="W65">IFERROR(_xlfn.LET(_xlpm.sel,IF(OR(TRIM(Enginuity!$A$21)="08-Box Lattice",TRIM(Enginuity!$A$21)="12-Box Lattice",TRIM(Enginuity!$A$21)="24-Box Lattice"),TRIM(Enginuity!$A$21),TRIM(Enginuity!$A$21)),_xlfn.SWITCH(_xlpm.sel,"08-Box Lattice",$W$14,"12-Box Lattice",$W$15,"24-Box Lattice",$W$16,"")),"")</f>
        <v/>
      </c>
    </row>
    <row r="66" spans="1:23">
      <c r="A66" s="272" t="s">
        <v>2443</v>
      </c>
      <c r="C66" s="367" t="s">
        <v>3</v>
      </c>
      <c r="E66" s="367" t="str">
        <v/>
      </c>
      <c r="G66" s="367" t="s">
        <v>1864</v>
      </c>
      <c r="H66" s="367" t="s">
        <v>1864</v>
      </c>
      <c r="O66" s="367" t="s">
        <v>1962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>
        <f>S66</f>
        <v>▼ [Fix - Casement]</v>
      </c>
      <c r="R66" s="1" t="str">
        <f>T66</f>
        <v>▼ [Fix - Casement]</v>
      </c>
      <c r="S66" s="24" t="str">
        <f>G61</f>
        <v>▼ [Fix - Casement]</v>
      </c>
      <c r="T66" s="9" t="str">
        <f t="shared" ref="T66:T67" si="3">S66</f>
        <v>▼ [Fix - Casement]</v>
      </c>
      <c r="U66" s="1" t="s">
        <v>176</v>
      </c>
      <c r="V66" s="1">
        <v>1</v>
      </c>
      <c r="W66" s="421" t="str">
        <f>IF(Enginuity!$A$22&lt;&gt;"",$W$4,"")</f>
        <v/>
      </c>
    </row>
    <row r="67" spans="1:23">
      <c r="A67" s="272" t="s">
        <v>2443</v>
      </c>
      <c r="C67" s="367" t="s">
        <v>3</v>
      </c>
      <c r="E67" s="367" t="str">
        <v/>
      </c>
      <c r="G67" s="367" t="s">
        <v>1865</v>
      </c>
      <c r="H67" s="367" t="s">
        <v>1865</v>
      </c>
      <c r="O67" s="367" t="s">
        <v>1963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>
        <f>S67</f>
        <v>▼ [Hung Window - Casement]</v>
      </c>
      <c r="R67" s="1" t="str">
        <f>T67</f>
        <v>▼ [Hung Window - Casement]</v>
      </c>
      <c r="S67" s="24" t="str">
        <f>H61</f>
        <v>▼ [Hung Window - Casement]</v>
      </c>
      <c r="T67" s="9" t="str">
        <f t="shared" si="3"/>
        <v>▼ [Hung Window - Casement]</v>
      </c>
      <c r="U67" s="1" t="s">
        <v>176</v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21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>
      <c r="A68" s="272" t="s">
        <v>2443</v>
      </c>
      <c r="C68" s="367" t="s">
        <v>3</v>
      </c>
      <c r="E68" s="367" t="str">
        <v/>
      </c>
      <c r="G68" s="367" t="s">
        <v>1866</v>
      </c>
      <c r="H68" s="367" t="s">
        <v>1866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21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>
      <c r="A69" s="272" t="s">
        <v>2443</v>
      </c>
      <c r="C69" s="367" t="s">
        <v>3</v>
      </c>
      <c r="E69" s="367" t="str">
        <v/>
      </c>
      <c r="G69" s="367" t="s">
        <v>1867</v>
      </c>
      <c r="H69" s="367" t="s">
        <v>1867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21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>
      <c r="A70" s="272" t="s">
        <v>2443</v>
      </c>
      <c r="C70" s="367" t="s">
        <v>3</v>
      </c>
      <c r="E70" s="367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21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>
      <c r="A71" s="272" t="s">
        <v>2443</v>
      </c>
      <c r="C71" s="367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21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>
      <c r="A72" s="272" t="s">
        <v>2443</v>
      </c>
      <c r="C72" s="367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21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>
      <c r="A73" s="272" t="s">
        <v>2443</v>
      </c>
      <c r="C73" s="367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21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>
      <c r="A74" s="272" t="s">
        <v>2443</v>
      </c>
      <c r="C74" s="367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21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>
      <c r="A75" s="272" t="s">
        <v>2443</v>
      </c>
      <c r="C75" s="367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21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>
      <c r="A76" s="272" t="s">
        <v>2443</v>
      </c>
      <c r="C76" s="367" t="s">
        <v>3</v>
      </c>
      <c r="F76" s="367" t="str">
        <f>"▼ [Insert]"</f>
        <v>▼ [Insert]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>
        <f>"Insert"</f>
        <v>Insert</v>
      </c>
      <c r="R76" s="9" t="str">
        <f>S76</f>
        <v>Breezway 102mm Glass Infill</v>
      </c>
      <c r="S76" s="417" t="str">
        <f>Enginuity!$A$21</f>
        <v>Breezway 102mm Glass Infill</v>
      </c>
      <c r="T76" s="9" t="str">
        <f>S76</f>
        <v>Breezway 102mm Glass Infill</v>
      </c>
      <c r="U76" s="1" t="s">
        <v>176</v>
      </c>
      <c r="V76" s="1" cm="1">
        <f t="array" ref="V76">_xlfn.LET(_xlpm.vSel,TRIM(SUBSTITUTE(Enginuity!$A$21,CHAR(160)," ")),_xlpm.vCode,TRIM(SUBSTITUTE(INDEX(S:S,ROW()),CHAR(160)," ")),IF(AND(_xlpm.vSel&lt;&gt;"",_xlpm.vCode&lt;&gt;"",_xlpm.vSel=_xlpm.vCode),1,""))</f>
        <v>1</v>
      </c>
      <c r="W76" s="421" cm="1">
        <f t="array" ref="W76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77" spans="1:23">
      <c r="A77" s="272" t="s">
        <v>2443</v>
      </c>
      <c r="C77" s="367" t="s">
        <v>3</v>
      </c>
      <c r="F77" s="367" t="s">
        <v>2079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tr" cm="1">
        <f t="array" ref="Q7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77" s="1" t="str">
        <f>IF($T77="","","⬒ "&amp;$T77)</f>
        <v>⬒ Default</v>
      </c>
      <c r="S77" s="24" t="s">
        <v>1828</v>
      </c>
      <c r="T77" s="1" t="str" cm="1">
        <f t="array" ref="T7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77" s="1" t="str" cm="1">
        <f t="array" ref="U7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77" s="1" t="str">
        <f>IF(LEFT(UPPER(TRIM(SUBSTITUTE(Enginuity!$A$21,CHAR(160)," "))),8)="BREEZWAY","",IF(Enginuity!$B$9="","",Enginuity!$B$9))</f>
        <v/>
      </c>
      <c r="W77" s="421" cm="1">
        <f t="array" ref="W7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78" spans="1:23">
      <c r="A78" s="272" t="s">
        <v>2443</v>
      </c>
      <c r="C78" s="367" t="s">
        <v>3</v>
      </c>
      <c r="F78" s="367" t="s">
        <v>2080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21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>
      <c r="A79" s="272" t="s">
        <v>2443</v>
      </c>
      <c r="C79" s="367" t="s">
        <v>3</v>
      </c>
      <c r="F79" s="367" t="s">
        <v>2081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21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>
      <c r="A80" s="272" t="s">
        <v>2443</v>
      </c>
      <c r="C80" s="367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21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>
      <c r="A81" s="272" t="s">
        <v>2443</v>
      </c>
      <c r="C81" s="367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21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>
      <c r="A82" s="272" t="s">
        <v>2443</v>
      </c>
      <c r="C82" s="367" t="s">
        <v>3</v>
      </c>
      <c r="W82" s="421"/>
    </row>
    <row r="83" spans="1:23">
      <c r="A83" s="272" t="s">
        <v>2443</v>
      </c>
      <c r="C83" s="367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" t="str">
        <f>IF($S83="","",$T83)</f>
        <v>Hung Friction Stay</v>
      </c>
      <c r="S83" s="24" t="s">
        <v>1874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21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>
      <c r="A84" s="272" t="s">
        <v>2443</v>
      </c>
      <c r="C84" s="367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" t="str">
        <f>IF($S84="","",$T84)</f>
        <v>Casement Friction Stay</v>
      </c>
      <c r="S84" s="24" t="s">
        <v>1873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4</v>
      </c>
      <c r="W84" s="421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>
      <c r="A85" s="272" t="s">
        <v>2443</v>
      </c>
      <c r="C85" s="367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85" s="421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>
      <c r="A86" s="272" t="s">
        <v>2443</v>
      </c>
      <c r="C86" s="367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" t="str">
        <f>IF($S86="","",$T86)</f>
        <v>2.5" x 2 Black Tape</v>
      </c>
      <c r="S86" s="24" t="s">
        <v>1891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168</v>
      </c>
      <c r="W86" s="421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>
      <c r="A87" s="272" t="s">
        <v>2443</v>
      </c>
      <c r="C87" s="367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" t="s">
        <v>1924</v>
      </c>
      <c r="S87" s="24" t="s">
        <v>1905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64</v>
      </c>
      <c r="W87" s="421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>
      <c r="A88" s="272" t="s">
        <v>2443</v>
      </c>
      <c r="C88" s="367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" t="s">
        <v>1925</v>
      </c>
      <c r="S88" s="24" t="s">
        <v>1909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80</v>
      </c>
      <c r="W88" s="421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>
      <c r="A89" s="272" t="s">
        <v>2443</v>
      </c>
      <c r="C89" s="367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" t="s">
        <v>1923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80</v>
      </c>
      <c r="W89" s="421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>
      <c r="A90" s="272" t="s">
        <v>2443</v>
      </c>
      <c r="C90" s="367" t="s">
        <v>3</v>
      </c>
      <c r="P90" s="1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1" t="str">
        <f>IF($S90="","",IFERROR(_xlfn.XLOOKUP($S90,CostData!$U$22:$U$1000,CostData!$T$22:$T$1000,""),""))</f>
        <v>Gasket</v>
      </c>
      <c r="R90" s="1" t="s">
        <v>1926</v>
      </c>
      <c r="S90" s="24">
        <v>6154</v>
      </c>
      <c r="T90" s="1" t="str" cm="1">
        <f t="array" ref="T90">_xlfn.LET(_xlpm.cd,INDEX($S:$S,ROW()),IF(_xlpm.cd="","",IFERROR(_xlfn.XLOOKUP(_xlpm.cd,CostData!$U$22:$U$1000,CostData!$W$22:$W$1000,""),"")))</f>
        <v>6154 Gasket</v>
      </c>
      <c r="U90" s="1" t="str">
        <f>IF($S90="","",IFERROR(_xlfn.XLOOKUP($S90,CostData!$U$22:$U$1000,CostData!$AA$22:$AA$1000,""),""))</f>
        <v>Ft</v>
      </c>
      <c r="V90" s="1">
        <f>IF(SUM($V$63:$V$64)=0,"",SUM($V$63:$V$64)*2)</f>
        <v>48</v>
      </c>
      <c r="W90" s="421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>
      <c r="A91" s="412" t="s">
        <v>2443</v>
      </c>
      <c r="B91" s="408" t="s">
        <v>1840</v>
      </c>
      <c r="C91" s="408" t="s">
        <v>1984</v>
      </c>
      <c r="D91" s="408" t="s">
        <v>1791</v>
      </c>
      <c r="E91" s="408" t="str" cm="1">
        <f t="array" ref="E91:E100">IFERROR(INDEX(_xlfn._xlws.FILTER(CostData!$P$3:$P$12,CostData!$P$3:$P$12&lt;&gt;""),_xlfn.SEQUENCE(10)),"")</f>
        <v>Default</v>
      </c>
      <c r="F91" s="408" t="str">
        <f>"▼ [Product Subtype]"</f>
        <v>▼ [Product Subtype]</v>
      </c>
      <c r="G91" s="408"/>
      <c r="H91" s="408" t="str">
        <f>"▼ [Hung Window - Casement]"</f>
        <v>▼ [Hung Window - Casement]</v>
      </c>
      <c r="I91" s="408" t="s">
        <v>1852</v>
      </c>
      <c r="J91" s="408" t="s">
        <v>1853</v>
      </c>
      <c r="K91" s="408" t="s">
        <v>1854</v>
      </c>
      <c r="L91" s="408" t="s">
        <v>1855</v>
      </c>
      <c r="M91" s="413">
        <v>0.52</v>
      </c>
      <c r="N91" s="408">
        <v>762</v>
      </c>
      <c r="O91" s="408" t="s">
        <v>1950</v>
      </c>
      <c r="P91" s="404" t="str" cm="1">
        <f t="array" ref="P91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1" s="404" t="str" cm="1">
        <f t="array" ref="Q91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1" s="404" t="s">
        <v>1811</v>
      </c>
      <c r="S91" s="410" t="s">
        <v>1966</v>
      </c>
      <c r="T91" s="404" t="str" cm="1">
        <f t="array" ref="T91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</v>
      </c>
      <c r="U91" s="404" t="str" cm="1">
        <f t="array" ref="U91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1" s="404">
        <f>_xlfn.LET(_xlpm.w,Enginuity!$B$6,_xlpm.h,Enginuity!$B$7,_xlpm.tot,(2*_xlpm.w)+(2*_xlpm.h),IF(_xlpm.tot=0,"",_xlpm.tot))</f>
        <v>32</v>
      </c>
      <c r="W91" s="423" cm="1">
        <f t="array" ref="W91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20.89</v>
      </c>
    </row>
    <row r="92" spans="1:23">
      <c r="A92" s="272" t="s">
        <v>2443</v>
      </c>
      <c r="B92" s="367" t="s">
        <v>1842</v>
      </c>
      <c r="C92" s="367" t="s">
        <v>1984</v>
      </c>
      <c r="D92" s="367" t="s">
        <v>1813</v>
      </c>
      <c r="E92" s="367" t="str">
        <v>Black Aluminium Mesh 1.6mm</v>
      </c>
      <c r="F92" s="367" t="s">
        <v>1928</v>
      </c>
      <c r="M92" s="405">
        <v>0.52</v>
      </c>
      <c r="N92" s="367">
        <v>1500</v>
      </c>
      <c r="O92" s="367" t="s">
        <v>1951</v>
      </c>
      <c r="P92" s="1" t="str" cm="1">
        <f t="array" ref="P92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2" s="1" t="str" cm="1">
        <f t="array" ref="Q92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2" s="1" t="s">
        <v>1857</v>
      </c>
      <c r="S92" s="24" t="s">
        <v>1966</v>
      </c>
      <c r="T92" s="1" t="str" cm="1">
        <f t="array" ref="T92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</v>
      </c>
      <c r="U92" s="1" t="str" cm="1">
        <f t="array" ref="U92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24</v>
      </c>
      <c r="W92" s="421" cm="1">
        <f t="array" ref="W92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20.89</v>
      </c>
    </row>
    <row r="93" spans="1:23">
      <c r="A93" s="272" t="s">
        <v>2443</v>
      </c>
      <c r="B93" s="367" t="s">
        <v>382</v>
      </c>
      <c r="C93" s="367" t="s">
        <v>1984</v>
      </c>
      <c r="D93" s="367" t="s">
        <v>1792</v>
      </c>
      <c r="E93" s="367" t="str">
        <v>Black Aluminium Mesh 1.8mm</v>
      </c>
      <c r="F93" s="367" t="s">
        <v>1955</v>
      </c>
      <c r="M93" s="405">
        <v>0.52</v>
      </c>
      <c r="N93" s="367">
        <v>762</v>
      </c>
      <c r="O93" s="367" t="s">
        <v>1952</v>
      </c>
      <c r="P93" s="1" t="str" cm="1">
        <f t="array" ref="P93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3" s="1" t="str" cm="1">
        <f t="array" ref="Q93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3" s="1" t="s">
        <v>1856</v>
      </c>
      <c r="S93" s="24" t="s">
        <v>1966</v>
      </c>
      <c r="T93" s="1" t="str" cm="1">
        <f t="array" ref="T93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</v>
      </c>
      <c r="U93" s="1" t="str" cm="1">
        <f t="array" ref="U93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3" s="1" t="str">
        <f>_xlfn.LET(_xlpm.w,Enginuity!$B$6,_xlpm.h,ROUND(Enginuity!$B$7,2),_xlpm.tot,IF(_xlpm.h&gt;23,"MAX 23FT",IF(_xlpm.h&gt;18,_xlpm.w*3,IF(_xlpm.h&gt;13,_xlpm.w*2,IF(_xlpm.h&gt;8,_xlpm.w,0)))),IF(_xlpm.tot=0,"",_xlpm.tot))</f>
        <v/>
      </c>
      <c r="W93" s="421" cm="1">
        <f t="array" ref="W93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20.89</v>
      </c>
    </row>
    <row r="94" spans="1:23">
      <c r="A94" s="272" t="s">
        <v>2443</v>
      </c>
      <c r="B94" s="367" t="s">
        <v>1841</v>
      </c>
      <c r="C94" s="367" t="s">
        <v>1984</v>
      </c>
      <c r="D94" s="367" t="s">
        <v>1814</v>
      </c>
      <c r="E94" s="367" t="str">
        <v>Black Stainless Steel Mesh 1.0mm</v>
      </c>
      <c r="F94" s="367" t="s">
        <v>1956</v>
      </c>
      <c r="M94" s="405">
        <v>0.52</v>
      </c>
      <c r="N94" s="367">
        <v>762</v>
      </c>
      <c r="O94" s="367" t="s">
        <v>1953</v>
      </c>
      <c r="P94" s="1" t="str" cm="1">
        <f t="array" ref="P94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4" s="1" t="str" cm="1">
        <f t="array" ref="Q94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4" s="1" t="s">
        <v>1811</v>
      </c>
      <c r="S94" s="24" t="s">
        <v>1948</v>
      </c>
      <c r="T94" s="1" t="str" cm="1">
        <f t="array" ref="T94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4" s="1" t="str" cm="1">
        <f t="array" ref="U94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4" s="1">
        <f>_xlfn.LET(_xlpm.w,Enginuity!$B$6,_xlpm.h,Enginuity!$B$7,_xlpm.tot,(2*_xlpm.w)+(2*_xlpm.h),IF(_xlpm.tot=0,"",_xlpm.tot))</f>
        <v>32</v>
      </c>
      <c r="W94" s="421" cm="1">
        <f t="array" ref="W94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6.58</v>
      </c>
    </row>
    <row r="95" spans="1:23">
      <c r="A95" s="272" t="s">
        <v>2443</v>
      </c>
      <c r="C95" s="367" t="s">
        <v>1984</v>
      </c>
      <c r="E95" s="367" t="str">
        <v/>
      </c>
      <c r="F95" s="367" t="s">
        <v>1957</v>
      </c>
      <c r="M95" s="405">
        <v>0.52</v>
      </c>
      <c r="N95" s="367">
        <v>762</v>
      </c>
      <c r="O95" s="367" t="s">
        <v>1954</v>
      </c>
      <c r="P95" s="1" t="str" cm="1">
        <f t="array" ref="P95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5" s="1" t="str" cm="1">
        <f t="array" ref="Q95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5" s="1" t="s">
        <v>1857</v>
      </c>
      <c r="S95" s="24" t="s">
        <v>1948</v>
      </c>
      <c r="T95" s="1" t="str" cm="1">
        <f t="array" ref="T9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5" s="1" t="str" cm="1">
        <f t="array" ref="U95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24</v>
      </c>
      <c r="W95" s="421" cm="1">
        <f t="array" ref="W95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6.58</v>
      </c>
    </row>
    <row r="96" spans="1:23">
      <c r="A96" s="272" t="s">
        <v>2443</v>
      </c>
      <c r="C96" s="367" t="s">
        <v>1984</v>
      </c>
      <c r="E96" s="367" t="str">
        <v/>
      </c>
      <c r="F96" s="367" t="s">
        <v>1964</v>
      </c>
      <c r="M96" s="405">
        <v>0.521208</v>
      </c>
      <c r="N96" s="367">
        <v>1000</v>
      </c>
      <c r="O96" s="367" t="s">
        <v>1962</v>
      </c>
      <c r="P96" s="1" t="str" cm="1">
        <f t="array" ref="P96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6" s="1" t="str" cm="1">
        <f t="array" ref="Q96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6" s="1" t="s">
        <v>1856</v>
      </c>
      <c r="S96" s="24" t="s">
        <v>1948</v>
      </c>
      <c r="T96" s="1" t="str" cm="1">
        <f t="array" ref="T9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6" s="1" t="str" cm="1">
        <f t="array" ref="U96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6" s="1" t="str">
        <f>_xlfn.LET(_xlpm.w,Enginuity!$B$6,_xlpm.h,Enginuity!$B$7,_xlpm.tot,IF(_xlpm.h&gt;12,"MAX 12FT",IF(_xlpm.h&gt;8,_xlpm.w,0)),IF(_xlpm.tot=0,"",_xlpm.tot))</f>
        <v/>
      </c>
      <c r="W96" s="421" cm="1">
        <f t="array" ref="W96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6.58</v>
      </c>
    </row>
    <row r="97" spans="1:23">
      <c r="A97" s="272" t="s">
        <v>2443</v>
      </c>
      <c r="C97" s="367" t="s">
        <v>1984</v>
      </c>
      <c r="E97" s="367" t="str">
        <v/>
      </c>
      <c r="F97" s="367" t="s">
        <v>1965</v>
      </c>
      <c r="M97" s="405">
        <v>0.521208</v>
      </c>
      <c r="N97" s="367">
        <v>1000</v>
      </c>
      <c r="O97" s="367" t="s">
        <v>1963</v>
      </c>
      <c r="P97" s="1" t="str" cm="1">
        <f t="array" ref="P97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7" s="1" t="str" cm="1">
        <f t="array" ref="Q97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7" s="1" t="s">
        <v>1811</v>
      </c>
      <c r="S97" s="24" t="s">
        <v>1935</v>
      </c>
      <c r="T97" s="1" t="str" cm="1">
        <f t="array" ref="T9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7" s="1" t="str" cm="1">
        <f t="array" ref="U97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7" s="1">
        <f>_xlfn.LET(_xlpm.w,Enginuity!$B$6,_xlpm.h,Enginuity!$B$7,_xlpm.tot,(2*_xlpm.w)+(2*_xlpm.h),IF(_xlpm.tot=0,"",_xlpm.tot))</f>
        <v>32</v>
      </c>
      <c r="W97" s="421" cm="1">
        <f t="array" ref="W97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8.2100000000000009</v>
      </c>
    </row>
    <row r="98" spans="1:23">
      <c r="A98" s="272" t="s">
        <v>2443</v>
      </c>
      <c r="C98" s="367" t="s">
        <v>1984</v>
      </c>
      <c r="E98" s="367" t="str">
        <v/>
      </c>
      <c r="M98" s="405"/>
      <c r="P98" s="1" t="str" cm="1">
        <f t="array" ref="P98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8" s="1" t="str" cm="1">
        <f t="array" ref="Q98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8" s="1" t="s">
        <v>1857</v>
      </c>
      <c r="S98" s="24" t="s">
        <v>1935</v>
      </c>
      <c r="T98" s="1" t="str" cm="1">
        <f t="array" ref="T98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8" s="1" t="str" cm="1">
        <f t="array" ref="U98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24</v>
      </c>
      <c r="W98" s="421" cm="1">
        <f t="array" ref="W98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8.2100000000000009</v>
      </c>
    </row>
    <row r="99" spans="1:23">
      <c r="A99" s="272" t="s">
        <v>2443</v>
      </c>
      <c r="C99" s="367" t="s">
        <v>1984</v>
      </c>
      <c r="E99" s="367" t="str">
        <v/>
      </c>
      <c r="P99" s="1" t="str" cm="1">
        <f t="array" ref="P99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99" s="1" t="str" cm="1">
        <f t="array" ref="Q99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99" s="1" t="s">
        <v>1856</v>
      </c>
      <c r="S99" s="24" t="s">
        <v>1935</v>
      </c>
      <c r="T99" s="1" t="str" cm="1">
        <f t="array" ref="T99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99" s="1" t="str" cm="1">
        <f t="array" ref="U99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99" s="1" t="str">
        <f>_xlfn.LET(_xlpm.w,Enginuity!$B$6,_xlpm.h,Enginuity!$B$7,_xlpm.tot,IF(_xlpm.h&gt;16,"MAX 16FT",IF(_xlpm.h&gt;12,_xlpm.w*2,IF(_xlpm.h&gt;8,_xlpm.w,0))),IF(_xlpm.tot=0,"",_xlpm.tot))</f>
        <v/>
      </c>
      <c r="W99" s="421" cm="1">
        <f t="array" ref="W99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8.2100000000000009</v>
      </c>
    </row>
    <row r="100" spans="1:23">
      <c r="A100" s="272" t="s">
        <v>2443</v>
      </c>
      <c r="C100" s="367" t="s">
        <v>1984</v>
      </c>
      <c r="E100" s="367" t="str">
        <v/>
      </c>
      <c r="P100" s="1" t="str" cm="1">
        <f t="array" ref="P100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0" s="1" t="str" cm="1">
        <f t="array" ref="Q100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0" s="1" t="s">
        <v>1811</v>
      </c>
      <c r="S100" s="24" t="s">
        <v>1943</v>
      </c>
      <c r="T100" s="1" t="str" cm="1">
        <f t="array" ref="T100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100" s="1" t="str" cm="1">
        <f t="array" ref="U100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0" s="1">
        <f>_xlfn.LET(_xlpm.w,Enginuity!$B$6,_xlpm.h,Enginuity!$B$7,_xlpm.tot,(2*_xlpm.w)+(2*_xlpm.h),IF(_xlpm.tot=0,"",_xlpm.tot))</f>
        <v>32</v>
      </c>
      <c r="W100" s="421" cm="1">
        <f t="array" ref="W100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10.130000000000001</v>
      </c>
    </row>
    <row r="101" spans="1:23">
      <c r="A101" s="272" t="s">
        <v>2443</v>
      </c>
      <c r="C101" s="367" t="s">
        <v>1984</v>
      </c>
      <c r="P101" s="1" t="str" cm="1">
        <f t="array" ref="P101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1" s="1" t="str" cm="1">
        <f t="array" ref="Q101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1" s="1" t="s">
        <v>1857</v>
      </c>
      <c r="S101" s="24" t="s">
        <v>1943</v>
      </c>
      <c r="T101" s="1" t="str" cm="1">
        <f t="array" ref="T101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101" s="1" t="str" cm="1">
        <f t="array" ref="U101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24</v>
      </c>
      <c r="W101" s="421" cm="1">
        <f t="array" ref="W101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10.130000000000001</v>
      </c>
    </row>
    <row r="102" spans="1:23">
      <c r="A102" s="272" t="s">
        <v>2443</v>
      </c>
      <c r="C102" s="367" t="s">
        <v>1984</v>
      </c>
      <c r="P102" s="1" t="str" cm="1">
        <f t="array" ref="P102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2" s="1" t="str" cm="1">
        <f t="array" ref="Q102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2" s="1" t="s">
        <v>1856</v>
      </c>
      <c r="S102" s="24" t="s">
        <v>1943</v>
      </c>
      <c r="T102" s="1" t="str" cm="1">
        <f t="array" ref="T102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Innner</v>
      </c>
      <c r="U102" s="1" t="str" cm="1">
        <f t="array" ref="U102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2" s="1" t="str">
        <f>_xlfn.LET(_xlpm.w,Enginuity!$B$6,_xlpm.h,Enginuity!$B$7,_xlpm.tot,IF(_xlpm.h&gt;16,"MAX 16FT",IF(_xlpm.h&gt;12,_xlpm.w*2,IF(_xlpm.h&gt;8,_xlpm.w,0))),IF(_xlpm.tot=0,"",_xlpm.tot))</f>
        <v/>
      </c>
      <c r="W102" s="421" cm="1">
        <f t="array" ref="W102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10.130000000000001</v>
      </c>
    </row>
    <row r="103" spans="1:23">
      <c r="A103" s="272" t="s">
        <v>2443</v>
      </c>
      <c r="C103" s="367" t="s">
        <v>1984</v>
      </c>
      <c r="P103" s="1" t="str" cm="1">
        <f t="array" ref="P103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3" s="1" t="str" cm="1">
        <f t="array" ref="Q103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3" s="1" t="s">
        <v>1811</v>
      </c>
      <c r="S103" s="24" t="s">
        <v>1960</v>
      </c>
      <c r="T103" s="1" t="str" cm="1">
        <f t="array" ref="T103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3" s="1" t="str" cm="1">
        <f t="array" ref="U103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3" s="1">
        <f>_xlfn.LET(_xlpm.w,Enginuity!$B$6,_xlpm.h,Enginuity!$B$7,_xlpm.tot,(2*_xlpm.w)+(2*_xlpm.h),IF(_xlpm.tot=0,"",_xlpm.tot))</f>
        <v>32</v>
      </c>
      <c r="W103" s="421" cm="1">
        <f t="array" ref="W103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3.2</v>
      </c>
    </row>
    <row r="104" spans="1:23">
      <c r="A104" s="272" t="s">
        <v>2443</v>
      </c>
      <c r="C104" s="367" t="s">
        <v>1984</v>
      </c>
      <c r="P104" s="1" t="str" cm="1">
        <f t="array" ref="P104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4" s="1" t="str" cm="1">
        <f t="array" ref="Q104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4" s="1" t="s">
        <v>1857</v>
      </c>
      <c r="S104" s="24" t="s">
        <v>1960</v>
      </c>
      <c r="T104" s="1" t="str" cm="1">
        <f t="array" ref="T104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4" s="1" t="str" cm="1">
        <f t="array" ref="U104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24</v>
      </c>
      <c r="W104" s="421" cm="1">
        <f t="array" ref="W104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3.2</v>
      </c>
    </row>
    <row r="105" spans="1:23">
      <c r="A105" s="272" t="s">
        <v>2443</v>
      </c>
      <c r="C105" s="367" t="s">
        <v>1984</v>
      </c>
      <c r="P105" s="1" t="str" cm="1">
        <f t="array" ref="P105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5" s="1" t="str" cm="1">
        <f t="array" ref="Q105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5" s="1" t="s">
        <v>1856</v>
      </c>
      <c r="S105" s="24" t="s">
        <v>1960</v>
      </c>
      <c r="T105" s="1" t="str" cm="1">
        <f t="array" ref="T10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5" s="1" t="str" cm="1">
        <f t="array" ref="U105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5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421" cm="1">
        <f t="array" ref="W105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3.2</v>
      </c>
    </row>
    <row r="106" spans="1:23">
      <c r="A106" s="272" t="s">
        <v>2443</v>
      </c>
      <c r="C106" s="367" t="s">
        <v>1984</v>
      </c>
      <c r="F106" s="367" t="str">
        <f>"▼ [Insert]"</f>
        <v>▼ [Insert]</v>
      </c>
      <c r="P106" s="1" t="str" cm="1">
        <f t="array" ref="P106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6" s="1" t="str" cm="1">
        <f t="array" ref="Q106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6" s="1" t="s">
        <v>1811</v>
      </c>
      <c r="S106" s="24" t="s">
        <v>1959</v>
      </c>
      <c r="T106" s="1" t="str" cm="1">
        <f t="array" ref="T10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6" s="1" t="str" cm="1">
        <f t="array" ref="U106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6" s="1">
        <f>_xlfn.LET(_xlpm.w,Enginuity!$B$6,_xlpm.h,Enginuity!$B$7,_xlpm.tot,(2*_xlpm.w)+(2*_xlpm.h),IF(_xlpm.tot=0,"",_xlpm.tot))</f>
        <v>32</v>
      </c>
      <c r="W106" s="421" cm="1">
        <f t="array" ref="W106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4.29</v>
      </c>
    </row>
    <row r="107" spans="1:23">
      <c r="A107" s="272" t="s">
        <v>2443</v>
      </c>
      <c r="C107" s="367" t="s">
        <v>1984</v>
      </c>
      <c r="F107" s="367" t="s">
        <v>2079</v>
      </c>
      <c r="P107" s="1" t="str" cm="1">
        <f t="array" ref="P107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7" s="1" t="str" cm="1">
        <f t="array" ref="Q107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7" s="1" t="s">
        <v>1857</v>
      </c>
      <c r="S107" s="24" t="s">
        <v>1959</v>
      </c>
      <c r="T107" s="1" t="str" cm="1">
        <f t="array" ref="T10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7" s="1" t="str" cm="1">
        <f t="array" ref="U107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24</v>
      </c>
      <c r="W107" s="421" cm="1">
        <f t="array" ref="W107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4.29</v>
      </c>
    </row>
    <row r="108" spans="1:23">
      <c r="A108" s="272" t="s">
        <v>2443</v>
      </c>
      <c r="C108" s="367" t="s">
        <v>1984</v>
      </c>
      <c r="F108" s="367" t="s">
        <v>2080</v>
      </c>
      <c r="P108" s="1" t="str" cm="1">
        <f t="array" ref="P108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8" s="1" t="str" cm="1">
        <f t="array" ref="Q108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8" s="1" t="s">
        <v>1856</v>
      </c>
      <c r="S108" s="24" t="s">
        <v>1959</v>
      </c>
      <c r="T108" s="1" t="str" cm="1">
        <f t="array" ref="T108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Outer / Mullion</v>
      </c>
      <c r="U108" s="1" t="str" cm="1">
        <f t="array" ref="U108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8" s="1" t="str">
        <f>_xlfn.LET(
_xlpm.v,TRIM(Enginuity!$B$18),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421" cm="1">
        <f t="array" ref="W108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4.29</v>
      </c>
    </row>
    <row r="109" spans="1:23">
      <c r="A109" s="272" t="s">
        <v>2443</v>
      </c>
      <c r="C109" s="367" t="s">
        <v>1984</v>
      </c>
      <c r="F109" s="367" t="s">
        <v>2081</v>
      </c>
      <c r="P109" s="1" t="str" cm="1">
        <f t="array" ref="P109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09" s="1" t="str" cm="1">
        <f t="array" ref="Q109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09" s="1" t="str">
        <f>IF($T109="","",$T109)</f>
        <v/>
      </c>
      <c r="S109" s="417" t="s">
        <v>2077</v>
      </c>
      <c r="T109" s="1" t="str" cm="1">
        <f t="array" ref="T109">IF(TRIM(INDEX($S:$S,ROW()))&lt;&gt;"LATTICE","",_xlfn.XLOOKUP(TRIM(Enginuity!$A$21),$T$14:$T$16,$T$14:$T$16,""))</f>
        <v/>
      </c>
      <c r="U109" s="1" t="str" cm="1">
        <f t="array" ref="U109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09" s="1" t="str" cm="1">
        <f t="array" ref="V109">IF(AND(TRIM(INDEX($S:$S,ROW()))="LATTICE",COUNTIF($T$14:$T$16,TRIM(Enginuity!$A$21))&gt;0),1,"")</f>
        <v/>
      </c>
      <c r="W109" s="421" t="str" cm="1">
        <f t="array" ref="W109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0" spans="1:23">
      <c r="A110" s="272" t="s">
        <v>2443</v>
      </c>
      <c r="C110" s="367" t="s">
        <v>1984</v>
      </c>
      <c r="F110" s="367" t="s">
        <v>2426</v>
      </c>
      <c r="P110" s="1" t="str" cm="1">
        <f t="array" ref="P110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0" s="1" t="str" cm="1">
        <f t="array" ref="Q110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0" s="1" t="str" cm="1">
        <f t="array" ref="T110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0" s="1" t="str" cm="1">
        <f t="array" ref="U110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0" s="421" t="str" cm="1">
        <f t="array" ref="W110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1" spans="1:23">
      <c r="A111" s="272" t="s">
        <v>2443</v>
      </c>
      <c r="C111" s="367" t="s">
        <v>1984</v>
      </c>
      <c r="F111" s="367" t="s">
        <v>2427</v>
      </c>
      <c r="P111" s="1" t="str" cm="1">
        <f t="array" ref="P111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1" s="1" t="str">
        <f>"Insert"</f>
        <v>Insert</v>
      </c>
      <c r="R111" s="9" t="str">
        <f>S111</f>
        <v>Breezway 102mm Glass Infill</v>
      </c>
      <c r="S111" s="417" t="str">
        <f>Enginuity!$A$21</f>
        <v>Breezway 102mm Glass Infill</v>
      </c>
      <c r="T111" s="9" t="str">
        <f>S111</f>
        <v>Breezway 102mm Glass Infill</v>
      </c>
      <c r="U111" s="1" t="s">
        <v>176</v>
      </c>
      <c r="V111" s="1" cm="1">
        <f t="array" ref="V111">_xlfn.LET(_xlpm.vSel,TRIM(SUBSTITUTE(Enginuity!$A$21,CHAR(160)," ")),_xlpm.vCode,TRIM(SUBSTITUTE(INDEX(S:S,ROW()),CHAR(160)," ")),IF(AND(_xlpm.vSel&lt;&gt;"",_xlpm.vCode&lt;&gt;"",_xlpm.vSel=_xlpm.vCode),1,""))</f>
        <v>1</v>
      </c>
      <c r="W111" s="421" cm="1">
        <f t="array" ref="W111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112" spans="1:23">
      <c r="A112" s="272" t="s">
        <v>2443</v>
      </c>
      <c r="C112" s="367" t="s">
        <v>1984</v>
      </c>
      <c r="F112" s="367" t="s">
        <v>2428</v>
      </c>
      <c r="P112" s="1" t="str" cm="1">
        <f t="array" ref="P112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2" s="1" t="str" cm="1">
        <f t="array" ref="Q112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112" s="1" t="str">
        <f>IF($T112="","","⬒ "&amp;$T112)</f>
        <v>⬒ Default</v>
      </c>
      <c r="S112" s="24" t="s">
        <v>1828</v>
      </c>
      <c r="T112" s="1" t="str" cm="1">
        <f t="array" ref="T112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112" s="1" t="str" cm="1">
        <f t="array" ref="U112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112" s="1" t="str">
        <f>IF(LEFT(UPPER(TRIM(SUBSTITUTE(Enginuity!$A$21,CHAR(160)," "))),8)="BREEZWAY","",IF(Enginuity!$B$9="","",Enginuity!$B$9))</f>
        <v/>
      </c>
      <c r="W112" s="421" cm="1">
        <f t="array" ref="W112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113" spans="1:23">
      <c r="A113" s="272" t="s">
        <v>2443</v>
      </c>
      <c r="C113" s="367" t="s">
        <v>1984</v>
      </c>
      <c r="F113" s="367" t="s">
        <v>2429</v>
      </c>
      <c r="P113" s="1" t="str" cm="1">
        <f t="array" ref="P113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3" s="1" t="str" cm="1">
        <f t="array" ref="Q113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R113" s="9"/>
      <c r="S113" s="417"/>
      <c r="T113" s="1" t="str" cm="1">
        <f t="array" ref="T113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3" s="1" t="str" cm="1">
        <f t="array" ref="U113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3" s="421" t="str" cm="1">
        <f t="array" ref="W113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4" spans="1:23">
      <c r="A114" s="272" t="s">
        <v>2443</v>
      </c>
      <c r="C114" s="367" t="s">
        <v>1984</v>
      </c>
      <c r="F114" s="367" t="s">
        <v>2430</v>
      </c>
      <c r="P114" s="1" t="str" cm="1">
        <f t="array" ref="P114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4" s="1" t="str" cm="1">
        <f t="array" ref="Q114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4" s="1" t="str" cm="1">
        <f t="array" ref="T114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4" s="1" t="str" cm="1">
        <f t="array" ref="U114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4" s="421" t="str" cm="1">
        <f t="array" ref="W114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5" spans="1:23">
      <c r="A115" s="272" t="s">
        <v>2443</v>
      </c>
      <c r="C115" s="367" t="s">
        <v>1984</v>
      </c>
      <c r="F115" s="367" t="s">
        <v>2431</v>
      </c>
      <c r="P115" s="1" t="str" cm="1">
        <f t="array" ref="P115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5" s="1" t="str" cm="1">
        <f t="array" ref="Q115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5" s="1" t="str" cm="1">
        <f t="array" ref="T11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5" s="1" t="str" cm="1">
        <f t="array" ref="U115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5" s="421" t="str" cm="1">
        <f t="array" ref="W115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6" spans="1:23">
      <c r="A116" s="272" t="s">
        <v>2443</v>
      </c>
      <c r="C116" s="367" t="s">
        <v>1984</v>
      </c>
      <c r="F116" s="367" t="s">
        <v>2456</v>
      </c>
      <c r="P116" s="1" t="str" cm="1">
        <f t="array" ref="P116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6" s="1" t="str" cm="1">
        <f t="array" ref="Q116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/>
      </c>
      <c r="T116" s="1" t="str" cm="1">
        <f t="array" ref="T11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16" s="1" t="str" cm="1">
        <f t="array" ref="U116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/>
      </c>
      <c r="W116" s="421" t="str" cm="1">
        <f t="array" ref="W116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/>
      </c>
    </row>
    <row r="117" spans="1:23">
      <c r="A117" s="272" t="s">
        <v>2443</v>
      </c>
      <c r="C117" s="367" t="s">
        <v>1984</v>
      </c>
      <c r="P117" s="1" t="str" cm="1">
        <f t="array" ref="P117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7" s="1" t="str" cm="1">
        <f t="array" ref="Q117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Aluminium</v>
      </c>
      <c r="R117" s="1" t="s">
        <v>1969</v>
      </c>
      <c r="S117" s="24" t="s">
        <v>1967</v>
      </c>
      <c r="T117" s="1" t="str" cm="1">
        <f t="array" ref="T11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Misc</v>
      </c>
      <c r="U117" s="1" t="str" cm="1">
        <f t="array" ref="U117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Pcs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20</v>
      </c>
      <c r="W117" s="421" cm="1">
        <f t="array" ref="W117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0.16083333333333333</v>
      </c>
    </row>
    <row r="118" spans="1:23">
      <c r="A118" s="272" t="s">
        <v>2443</v>
      </c>
      <c r="C118" s="367" t="s">
        <v>1984</v>
      </c>
      <c r="P118" s="1" t="str" cm="1">
        <f t="array" ref="P118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8" s="1" t="str" cm="1">
        <f t="array" ref="Q118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Black Tape</v>
      </c>
      <c r="R118" s="1" t="str">
        <f>IF($S118="","",$T118)</f>
        <v>4" x 2 Black Tape</v>
      </c>
      <c r="S118" s="24" t="s">
        <v>1897</v>
      </c>
      <c r="T118" s="1" t="str" cm="1">
        <f t="array" ref="T118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4" x 2 Black Tape</v>
      </c>
      <c r="U118" s="1" t="str" cm="1">
        <f t="array" ref="U118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18" s="1">
        <f>_xlfn.LET(_xlpm.tot,SUM(N($V$91),N($V$92),N($V$93))*2,IF(_xlpm.tot=0,"",_xlpm.tot))</f>
        <v>112</v>
      </c>
      <c r="W118" s="421" cm="1">
        <f t="array" ref="W118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0.31999934976002081</v>
      </c>
    </row>
    <row r="119" spans="1:23">
      <c r="A119" s="272" t="s">
        <v>2443</v>
      </c>
      <c r="C119" s="367" t="s">
        <v>1984</v>
      </c>
      <c r="P119" s="1" t="str" cm="1">
        <f t="array" ref="P119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19" s="1" t="str" cm="1">
        <f t="array" ref="Q119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Silicone</v>
      </c>
      <c r="R119" s="1" t="s">
        <v>1982</v>
      </c>
      <c r="S119" s="24" t="s">
        <v>1974</v>
      </c>
      <c r="T119" s="1" t="str" cm="1">
        <f t="array" ref="T119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VT210 Neutral Sealant Clear/WH/Grey 300ML</v>
      </c>
      <c r="U119" s="1" t="str" cm="1">
        <f t="array" ref="U119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ML</v>
      </c>
      <c r="V119" s="1" t="str" cm="1">
        <f t="array" ref="V119">_xlfn.LET(
_xlpm.v,TRIM(Enginuity!$B$18),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421" cm="1">
        <f t="array" ref="W119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2.5333333333333333E-2</v>
      </c>
    </row>
    <row r="120" spans="1:23">
      <c r="A120" s="406" t="s">
        <v>2443</v>
      </c>
      <c r="B120" s="395"/>
      <c r="C120" s="395" t="s">
        <v>1984</v>
      </c>
      <c r="D120" s="395"/>
      <c r="E120" s="395"/>
      <c r="F120" s="395"/>
      <c r="G120" s="395"/>
      <c r="H120" s="395"/>
      <c r="I120" s="395"/>
      <c r="J120" s="395"/>
      <c r="K120" s="395"/>
      <c r="L120" s="395"/>
      <c r="M120" s="395"/>
      <c r="N120" s="395"/>
      <c r="O120" s="395"/>
      <c r="P120" s="396" t="str" cm="1">
        <f t="array" ref="P120">_xlfn.LET(
_xlpm.A,INDEX($A:$A,ROW()),
_xlpm.C,INDEX($C:$C,ROW()),
_xlpm.v,INDEX($V:$V,ROW()),
_xlpm.w,INDEX($W:$W,ROW()),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_xlpm.isSubtype,OR(
_xlpm.cd="CTW-70212",
_xlpm.cd="SF2-CERMIN MATA",
_xlpm.cd="SF3-CERMIN MATA",
_xlpm.cd="SF4-CERMIN MATA",
_xlpm.cd="Hollow 1"" X 2""",
_xlpm.cd="Hollow 1"" X 3"""
),
IF(OR(
TRIM(_xlpm.A)&lt;&gt;TRIM(Enginuity!$A$1),
TRIM(_xlpm.C)&lt;&gt;TRIM(Enginuity!$A$18),
_xlpm.v="",
_xlpm.v=0,
_xlpm.w="",
_xlpm.w=0,
AND(_xlpm.isSubtype,_xlpm.cd&lt;&gt;_xlpm.famCode)
),"",ROW()))</f>
        <v/>
      </c>
      <c r="Q120" s="396" t="str" cm="1">
        <f t="array" ref="Q120">_xlfn.LET(
_xlpm.cd,TRIM(INDEX($S:$S,ROW())&amp;""),
IF(
_xlpm.cd="",
"",
IF(
_xlpm.cd="Panel / Infill",
"Panel / Infill",
_xlfn.XLOOKUP(
_xlpm.cd,
CostData!$C$22:$C$1000&amp;"",
CostData!$B$22:$B$1000,
_xlfn.XLOOKUP(
_xlpm.cd,
CostData!$U$22:$U$1000&amp;"",
CostData!$T$22:$T$1000,
""
)
)
)
)
)</f>
        <v>Gasket</v>
      </c>
      <c r="R120" s="396" t="str">
        <f>IF($S120="","",_xlfn.XLOOKUP($S120,CostData!$U$22:$U$1000,CostData!$W$22:$W$1000,""))</f>
        <v>6154 Gasket</v>
      </c>
      <c r="S120" s="411">
        <v>6154</v>
      </c>
      <c r="T120" s="396" t="str" cm="1">
        <f t="array" ref="T120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/>
      </c>
      <c r="U120" s="396" t="str" cm="1">
        <f t="array" ref="U120">_xlfn.LET(
_xlpm.cd,TRIM(INDEX($S:$S,ROW())&amp;""),
_xlpm.profileCode,TRIM(CostData!$C$22:$C$1000&amp;""),
_xlpm.hardwareCode,TRIM(CostData!$U$22:$U$1000&amp;""),
IF(
_xlpm.cd="",
"",
IF(
_xlpm.cd="Panel / Infill",
"Sqft",
IF(
_xlpm.cd="ANGLE-1X1X1.59",
"Pcs",
IF(
ISNUMBER(_xlfn.XMATCH(_xlpm.cd,_xlpm.profileCode,0)),
"Ft",
_xlfn.XLOOKUP(
_xlpm.cd,
_xlpm.hardwareCode,
CostData!$AA$22:$AA$1000,
""
)
)
)
)
)
)</f>
        <v>Ft</v>
      </c>
      <c r="V120" s="396" t="str">
        <f>_xlfn.LET(_xlpm.v,TRIM(Enginuity!$B$18),_xlpm.o,N(INDEX($V:$V,ROW()-3)),_xlpm.vm,N(INDEX($V:$V,ROW()-2)),_xlpm.hm,N(INDEX($V:$V,ROW()-1)),_xlpm.tot,_xlpm.o+_xlpm.vm+_xlpm.hm,IF(OR(_xlpm.v="SF 2""",_xlpm.v="SF 3""",_xlpm.v="SF 4"""),IF(_xlpm.tot=0,"",_xlpm.tot),""))</f>
        <v/>
      </c>
      <c r="W120" s="422" cm="1">
        <f t="array" ref="W120">_xlfn.LET(
_xlpm.cd,TRIM(INDEX($S:$S,ROW())&amp;""),
_xlpm.fin,TRIM(Enginuity!$A$19),
_xlpm.profileCode,TRIM(CostData!$C$22:$C$1000&amp;""),
_xlpm.hardwareCode,TRIM(CostData!$U$22:$U$1000&amp;""),
_xlpm.p,IFERROR(_xlfn.XMATCH(_xlpm.cd,_xlpm.profileCode,0),0),
_xlpm.h,IFERROR(_xlfn.XMATCH(_xlpm.cd,_xlpm.hardwareCode,0),0),
IF(
_xlpm.cd="",
"",
IF(
_xlpm.cd="LATTICE",
_xlfn.XLOOKUP(
TRIM(Enginuity!$A$21),
$T$14:$T$16,
$W$14:$W$16,
""
),
IF(
_xlpm.cd="Panel / Infill",
_xlfn.XLOOKUP(
TRIM(Enginuity!$A$20),
CostData!$P$3:$P$12,
CostData!$Q$3:$Q$12,
""
),
IF(
_xlpm.p&gt;0,
_xlfn.SWITCH(
_xlpm.fin,
"AP",INDEX(CostData!$G$22:$G$1000,_xlpm.p),
"N/A",INDEX(CostData!$H$22:$H$1000,_xlpm.p),
"M/B",INDEX(CostData!$I$22:$I$1000,_xlpm.p),
"P/C",INDEX(CostData!$J$22:$J$1000,_xlpm.p),
"W/G",INDEX(CostData!$K$22:$K$1000,_xlpm.p),
""
),
IF(
_xlpm.h&gt;0,
INDEX(CostData!$AC$22:$AC$1000,_xlpm.h),
""
)
)
)
)
)
)</f>
        <v>0.28687057905543556</v>
      </c>
    </row>
    <row r="121" spans="1:23">
      <c r="A121" s="272"/>
      <c r="M121" s="405"/>
      <c r="W121" s="421"/>
    </row>
    <row r="122" spans="1:23">
      <c r="A122" s="272"/>
      <c r="W122" s="421"/>
    </row>
    <row r="123" spans="1:23">
      <c r="A123" s="272"/>
      <c r="W123" s="421"/>
    </row>
    <row r="124" spans="1:23">
      <c r="A124" s="272"/>
      <c r="W124" s="421"/>
    </row>
    <row r="125" spans="1:23">
      <c r="A125" s="272"/>
      <c r="W125" s="421"/>
    </row>
    <row r="126" spans="1:23">
      <c r="A126" s="272"/>
      <c r="W126" s="421"/>
    </row>
    <row r="127" spans="1:23">
      <c r="A127" s="272"/>
      <c r="W127" s="421"/>
    </row>
    <row r="128" spans="1:23">
      <c r="A128" s="272"/>
      <c r="W128" s="421"/>
    </row>
    <row r="129" spans="1:23">
      <c r="A129" s="272"/>
      <c r="W129" s="421"/>
    </row>
    <row r="130" spans="1:23">
      <c r="A130" s="272"/>
      <c r="W130" s="421"/>
    </row>
    <row r="131" spans="1:23">
      <c r="A131" s="272"/>
      <c r="W131" s="421"/>
    </row>
    <row r="132" spans="1:23">
      <c r="A132" s="272"/>
      <c r="W132" s="421"/>
    </row>
    <row r="133" spans="1:23">
      <c r="A133" s="272"/>
      <c r="W133" s="421"/>
    </row>
    <row r="134" spans="1:23">
      <c r="A134" s="272"/>
      <c r="W134" s="421"/>
    </row>
    <row r="135" spans="1:23">
      <c r="A135" s="272"/>
      <c r="W135" s="421"/>
    </row>
    <row r="136" spans="1:23">
      <c r="A136" s="272"/>
      <c r="W136" s="421"/>
    </row>
    <row r="137" spans="1:23">
      <c r="A137" s="272"/>
      <c r="W137" s="421"/>
    </row>
    <row r="138" spans="1:23">
      <c r="A138" s="272"/>
      <c r="W138" s="421"/>
    </row>
    <row r="139" spans="1:23">
      <c r="A139" s="272"/>
      <c r="W139" s="421"/>
    </row>
    <row r="140" spans="1:23">
      <c r="A140" s="272"/>
      <c r="W140" s="421"/>
    </row>
    <row r="141" spans="1:23">
      <c r="A141" s="272"/>
      <c r="W141" s="421"/>
    </row>
    <row r="142" spans="1:23">
      <c r="A142" s="272"/>
      <c r="W142" s="421"/>
    </row>
    <row r="143" spans="1:23">
      <c r="A143" s="272"/>
      <c r="W143" s="421"/>
    </row>
    <row r="144" spans="1:23">
      <c r="A144" s="272"/>
      <c r="W144" s="421"/>
    </row>
    <row r="145" spans="1:23">
      <c r="A145" s="272"/>
      <c r="W145" s="421"/>
    </row>
    <row r="146" spans="1:23">
      <c r="A146" s="272"/>
      <c r="W146" s="421"/>
    </row>
    <row r="147" spans="1:23">
      <c r="A147" s="272"/>
      <c r="W147" s="421"/>
    </row>
    <row r="148" spans="1:23">
      <c r="A148" s="272"/>
      <c r="W148" s="421"/>
    </row>
    <row r="149" spans="1:23">
      <c r="A149" s="272"/>
      <c r="W149" s="421"/>
    </row>
    <row r="150" spans="1:23">
      <c r="A150" s="406"/>
      <c r="B150" s="395"/>
      <c r="C150" s="395"/>
      <c r="D150" s="395"/>
      <c r="E150" s="395"/>
      <c r="F150" s="395"/>
      <c r="G150" s="395"/>
      <c r="H150" s="395"/>
      <c r="I150" s="395"/>
      <c r="J150" s="395"/>
      <c r="K150" s="395"/>
      <c r="L150" s="395"/>
      <c r="M150" s="395"/>
      <c r="N150" s="395"/>
      <c r="O150" s="395"/>
      <c r="P150" s="396"/>
      <c r="Q150" s="396"/>
      <c r="R150" s="396"/>
      <c r="S150" s="411"/>
      <c r="T150" s="396"/>
      <c r="U150" s="396"/>
      <c r="V150" s="396"/>
      <c r="W150" s="422"/>
    </row>
    <row r="151" spans="1:23">
      <c r="A151" s="272" t="s">
        <v>2443</v>
      </c>
      <c r="B151" s="367" t="s">
        <v>1840</v>
      </c>
      <c r="C151" s="367" t="s">
        <v>11</v>
      </c>
      <c r="D151" s="367" t="s">
        <v>1791</v>
      </c>
      <c r="E151" s="367" t="str" cm="1">
        <f t="array" ref="E151:E160">IFERROR(INDEX(_xlfn._xlws.FILTER(CostData!$P$3:$P$12,CostData!$P$3:$P$12&lt;&gt;""),_xlfn.SEQUENCE(10)),"")</f>
        <v>Default</v>
      </c>
      <c r="F151" s="367" t="str">
        <f>"▼ [Product Subtype]"</f>
        <v>▼ [Product Subtype]</v>
      </c>
      <c r="G151" s="367" t="str">
        <f>"▼ [Fix - Casement]"</f>
        <v>▼ [Fix - Casement]</v>
      </c>
      <c r="H151" s="367" t="str">
        <f>"▼ [Hung Window - Casement]"</f>
        <v>▼ [Hung Window - Casement]</v>
      </c>
      <c r="I151" s="367" t="s">
        <v>1852</v>
      </c>
      <c r="J151" s="367" t="s">
        <v>1853</v>
      </c>
      <c r="K151" s="367" t="s">
        <v>1854</v>
      </c>
      <c r="L151" s="367" t="s">
        <v>1855</v>
      </c>
      <c r="M151" s="420">
        <v>0.59596199999999999</v>
      </c>
      <c r="N151" s="1">
        <v>914.4</v>
      </c>
      <c r="P151" s="1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1" t="str" cm="1">
        <f t="array" ref="Q151">_xlfn.LET(_xlpm.cd,INDEX($S:$S,ROW()),IF(_xlpm.cd="","",IFERROR(_xlfn.XLOOKUP(_xlpm.cd,CostData!$C$22:$C$1000,CostData!$B$22:$B$1000,""),"")))</f>
        <v>Aluminium</v>
      </c>
      <c r="R151" s="1" t="str">
        <f>T151</f>
        <v>Inner Lock</v>
      </c>
      <c r="S151" s="24" t="s">
        <v>1995</v>
      </c>
      <c r="T151" s="1" t="str" cm="1">
        <f t="array" ref="T151">_xlfn.LET(_xlpm.cd,INDEX($S:$S,ROW()),IF(_xlpm.cd="","",IFERROR(_xlfn.XLOOKUP(_xlpm.cd,CostData!$C$22:$C$1000,CostData!$E$22:$E$1000,""),"")))</f>
        <v>Inner Lock</v>
      </c>
      <c r="U151" s="1" t="s">
        <v>103</v>
      </c>
      <c r="V151" s="1" cm="1">
        <f t="array" ref="V151">_xlfn.LET(_xlpm.p,IF(Enginuity!$B$14&lt;&gt;"",Enginuity!$B$14,Enginuity!$B$13),_xlpm.h,Enginuity!$B$7,IF(OR(_xlpm.p="",_xlpm.h=""),"",_xlfn.SWITCH(_xlpm.p,2,2*_xlpm.h,3,2*_xlpm.h,4,2*_xlpm.h,6,4*_xlpm.h,"")))</f>
        <v>16</v>
      </c>
      <c r="W151" s="421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>
      <c r="A152" s="272" t="s">
        <v>2443</v>
      </c>
      <c r="B152" s="367" t="s">
        <v>1842</v>
      </c>
      <c r="C152" s="367" t="s">
        <v>11</v>
      </c>
      <c r="D152" s="367" t="s">
        <v>1813</v>
      </c>
      <c r="E152" s="367" t="str">
        <v>Black Aluminium Mesh 1.6mm</v>
      </c>
      <c r="G152" s="367" t="s">
        <v>1860</v>
      </c>
      <c r="H152" s="367" t="s">
        <v>1860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" t="str">
        <f t="shared" ref="R152:R159" si="4">T152</f>
        <v>Inner Bottom</v>
      </c>
      <c r="S152" s="24" t="s">
        <v>1997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8</v>
      </c>
      <c r="W152" s="421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>
      <c r="A153" s="272" t="s">
        <v>2443</v>
      </c>
      <c r="B153" s="367" t="s">
        <v>382</v>
      </c>
      <c r="C153" s="367" t="s">
        <v>11</v>
      </c>
      <c r="D153" s="367" t="s">
        <v>1792</v>
      </c>
      <c r="E153" s="367" t="str">
        <v>Black Aluminium Mesh 1.8mm</v>
      </c>
      <c r="G153" s="367" t="s">
        <v>1861</v>
      </c>
      <c r="H153" s="367" t="s">
        <v>1861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" t="str">
        <f t="shared" si="4"/>
        <v>Inner Top</v>
      </c>
      <c r="S153" s="24" t="s">
        <v>1999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8</v>
      </c>
      <c r="W153" s="421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>
      <c r="A154" s="272" t="s">
        <v>2443</v>
      </c>
      <c r="B154" s="367" t="s">
        <v>1841</v>
      </c>
      <c r="C154" s="367" t="s">
        <v>11</v>
      </c>
      <c r="D154" s="367" t="s">
        <v>1814</v>
      </c>
      <c r="E154" s="367" t="str">
        <v>Black Stainless Steel Mesh 1.0mm</v>
      </c>
      <c r="G154" s="367" t="s">
        <v>1862</v>
      </c>
      <c r="H154" s="367" t="s">
        <v>1862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" t="str">
        <f t="shared" si="4"/>
        <v>Inner Hook</v>
      </c>
      <c r="S154" s="24" t="s">
        <v>2001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16</v>
      </c>
      <c r="W154" s="421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>
      <c r="A155" s="272" t="s">
        <v>2443</v>
      </c>
      <c r="C155" s="367" t="s">
        <v>11</v>
      </c>
      <c r="E155" s="367" t="str">
        <v/>
      </c>
      <c r="G155" s="367" t="s">
        <v>1863</v>
      </c>
      <c r="H155" s="367" t="s">
        <v>1863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" t="str">
        <f t="shared" si="4"/>
        <v>Outer Stand 2-Way</v>
      </c>
      <c r="S155" s="24" t="s">
        <v>2005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cm="1">
        <f t="array" ref="V155">_xlfn.LET(_xlpm.p,IF(Enginuity!$B$14&lt;&gt;"",Enginuity!$B$14,Enginuity!$B$13),_xlpm.h,Enginuity!$B$7,IF(OR(_xlpm.p="",_xlpm.h=""),"",_xlfn.SWITCH(_xlpm.p,2,2*_xlpm.h,4,2*_xlpm.h,"")))</f>
        <v>16</v>
      </c>
      <c r="W155" s="421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>
      <c r="A156" s="272" t="s">
        <v>2443</v>
      </c>
      <c r="C156" s="367" t="s">
        <v>11</v>
      </c>
      <c r="E156" s="367" t="str">
        <v/>
      </c>
      <c r="G156" s="367" t="s">
        <v>1864</v>
      </c>
      <c r="H156" s="367" t="s">
        <v>1864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" t="str">
        <f t="shared" si="4"/>
        <v>Outer Top 2-Way</v>
      </c>
      <c r="S156" s="24" t="s">
        <v>2007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8</v>
      </c>
      <c r="W156" s="421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>
      <c r="A157" s="272" t="s">
        <v>2443</v>
      </c>
      <c r="C157" s="367" t="s">
        <v>11</v>
      </c>
      <c r="E157" s="367" t="str">
        <v/>
      </c>
      <c r="G157" s="367" t="s">
        <v>1865</v>
      </c>
      <c r="H157" s="367" t="s">
        <v>1865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" t="str">
        <f t="shared" si="4"/>
        <v>Outer Bottom 2-Way</v>
      </c>
      <c r="S157" s="24" t="s">
        <v>2009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8</v>
      </c>
      <c r="W157" s="421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>
      <c r="A158" s="272" t="s">
        <v>2443</v>
      </c>
      <c r="C158" s="367" t="s">
        <v>11</v>
      </c>
      <c r="E158" s="367" t="str">
        <v/>
      </c>
      <c r="G158" s="367" t="s">
        <v>1866</v>
      </c>
      <c r="H158" s="367" t="s">
        <v>1866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" t="str">
        <f t="shared" si="4"/>
        <v>Outer Top 1-Way</v>
      </c>
      <c r="S158" s="24" t="s">
        <v>2011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421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>
      <c r="A159" s="272" t="s">
        <v>2443</v>
      </c>
      <c r="C159" s="367" t="s">
        <v>11</v>
      </c>
      <c r="E159" s="367" t="str">
        <v/>
      </c>
      <c r="G159" s="367" t="s">
        <v>1867</v>
      </c>
      <c r="H159" s="367" t="s">
        <v>1867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" t="str">
        <f t="shared" si="4"/>
        <v>Outer Bottom 1-Way</v>
      </c>
      <c r="S159" s="24" t="s">
        <v>2013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421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>
      <c r="A160" s="272" t="s">
        <v>2443</v>
      </c>
      <c r="C160" s="367" t="s">
        <v>11</v>
      </c>
      <c r="E160" s="367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" t="str">
        <f t="shared" ref="R160:R161" si="5">T160</f>
        <v>Outer Stand 3-Way</v>
      </c>
      <c r="S160" s="24" t="s">
        <v>2027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421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>
      <c r="A161" s="272" t="s">
        <v>2443</v>
      </c>
      <c r="C161" s="367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" t="str">
        <f t="shared" si="5"/>
        <v>Centre Jamb</v>
      </c>
      <c r="S161" s="24" t="s">
        <v>2003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cm="1">
        <f t="array" ref="V161">_xlfn.LET(_xlpm.p,IF(Enginuity!$B$14&lt;&gt;"",Enginuity!$B$14,Enginuity!$B$13),_xlpm.h,Enginuity!$B$7,IF(OR(_xlpm.p="",_xlpm.h=""),"",_xlfn.SWITCH(_xlpm.p,4,_xlpm.h,6,_xlpm.h,"")))</f>
        <v>8</v>
      </c>
      <c r="W161" s="421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>
      <c r="A162" s="272" t="s">
        <v>2443</v>
      </c>
      <c r="C162" s="367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1828</v>
      </c>
      <c r="R162" s="1" t="str">
        <f>T162</f>
        <v>Breezway 102mm Glass Infill</v>
      </c>
      <c r="T162" s="1" t="str">
        <f>IF(Enginuity!$A$21="","",Enginuity!$A$21)</f>
        <v>Breezway 102mm Glass Infill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421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>
      <c r="A163" s="272" t="s">
        <v>2443</v>
      </c>
      <c r="C163" s="367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421"/>
    </row>
    <row r="164" spans="1:23">
      <c r="A164" s="272" t="s">
        <v>2443</v>
      </c>
      <c r="C164" s="367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421"/>
    </row>
    <row r="165" spans="1:23">
      <c r="A165" s="272" t="s">
        <v>2443</v>
      </c>
      <c r="C165" s="367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421"/>
    </row>
    <row r="166" spans="1:23">
      <c r="A166" s="272" t="s">
        <v>2443</v>
      </c>
      <c r="C166" s="367" t="s">
        <v>11</v>
      </c>
      <c r="F166" s="367" t="str">
        <f>"▼ [Insert]"</f>
        <v>▼ [Insert]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6" s="1" t="str">
        <f>"Insert"</f>
        <v>Insert</v>
      </c>
      <c r="R166" s="9" t="str">
        <f>S166</f>
        <v>Breezway 102mm Glass Infill</v>
      </c>
      <c r="S166" s="417" t="str">
        <f>Enginuity!$A$21</f>
        <v>Breezway 102mm Glass Infill</v>
      </c>
      <c r="T166" s="9" t="str">
        <f>S166</f>
        <v>Breezway 102mm Glass Infill</v>
      </c>
      <c r="U166" s="1" t="s">
        <v>176</v>
      </c>
      <c r="V166" s="1" cm="1">
        <f t="array" ref="V166">_xlfn.LET(_xlpm.vSel,TRIM(SUBSTITUTE(Enginuity!$A$21,CHAR(160)," ")),_xlpm.vCode,TRIM(SUBSTITUTE(INDEX(S:S,ROW()),CHAR(160)," ")),IF(AND(_xlpm.vSel&lt;&gt;"",_xlpm.vCode&lt;&gt;"",_xlpm.vSel=_xlpm.vCode),1,""))</f>
        <v>1</v>
      </c>
      <c r="W166" s="421" cm="1">
        <f t="array" ref="W166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167" spans="1:23">
      <c r="A167" s="272" t="s">
        <v>2443</v>
      </c>
      <c r="C167" s="367" t="s">
        <v>11</v>
      </c>
      <c r="F167" s="367" t="s">
        <v>2079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tr" cm="1">
        <f t="array" ref="Q16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167" s="1" t="str">
        <f>IF($T167="","","⬒ "&amp;$T167)</f>
        <v>⬒ Default</v>
      </c>
      <c r="S167" s="24" t="s">
        <v>1828</v>
      </c>
      <c r="T167" s="1" t="str" cm="1">
        <f t="array" ref="T16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167" s="1" t="str" cm="1">
        <f t="array" ref="U16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167" s="1" t="str">
        <f>IF(LEFT(UPPER(TRIM(SUBSTITUTE(Enginuity!$A$21,CHAR(160)," "))),8)="BREEZWAY","",IF(Enginuity!$B$9="","",Enginuity!$B$9))</f>
        <v/>
      </c>
      <c r="W167" s="421" cm="1">
        <f t="array" ref="W16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168" spans="1:23">
      <c r="A168" s="272" t="s">
        <v>2443</v>
      </c>
      <c r="C168" s="367" t="s">
        <v>11</v>
      </c>
      <c r="F168" s="367" t="s">
        <v>2080</v>
      </c>
      <c r="W168" s="421"/>
    </row>
    <row r="169" spans="1:23">
      <c r="A169" s="272" t="s">
        <v>2443</v>
      </c>
      <c r="C169" s="367" t="s">
        <v>11</v>
      </c>
      <c r="F169" s="367" t="s">
        <v>2081</v>
      </c>
      <c r="W169" s="421"/>
    </row>
    <row r="170" spans="1:23">
      <c r="A170" s="272" t="s">
        <v>2443</v>
      </c>
      <c r="C170" s="367" t="s">
        <v>11</v>
      </c>
      <c r="F170" s="367" t="s">
        <v>2426</v>
      </c>
      <c r="W170" s="421"/>
    </row>
    <row r="171" spans="1:23">
      <c r="A171" s="272" t="s">
        <v>2443</v>
      </c>
      <c r="C171" s="367" t="s">
        <v>11</v>
      </c>
      <c r="F171" s="367" t="s">
        <v>2427</v>
      </c>
      <c r="W171" s="421"/>
    </row>
    <row r="172" spans="1:23">
      <c r="A172" s="272" t="s">
        <v>2443</v>
      </c>
      <c r="C172" s="367" t="s">
        <v>11</v>
      </c>
      <c r="F172" s="367" t="s">
        <v>2428</v>
      </c>
      <c r="W172" s="421"/>
    </row>
    <row r="173" spans="1:23">
      <c r="A173" s="272" t="s">
        <v>2443</v>
      </c>
      <c r="C173" s="367" t="s">
        <v>11</v>
      </c>
      <c r="F173" s="367" t="s">
        <v>2429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421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>
      <c r="A174" s="272" t="s">
        <v>2443</v>
      </c>
      <c r="C174" s="367" t="s">
        <v>11</v>
      </c>
      <c r="F174" s="367" t="s">
        <v>2430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" t="str">
        <f t="shared" ref="R174:R180" si="6">IF($S174="","",$T174)</f>
        <v>Sliding Door Lock A6-25mm</v>
      </c>
      <c r="S174" s="24" t="s">
        <v>2044</v>
      </c>
      <c r="T174" s="1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>
        <f>IF(Enginuity!$B$13="","",1)</f>
        <v>1</v>
      </c>
      <c r="W174" s="421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>
      <c r="A175" s="272" t="s">
        <v>2443</v>
      </c>
      <c r="C175" s="367" t="s">
        <v>11</v>
      </c>
      <c r="F175" s="367" t="s">
        <v>2431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" t="str">
        <f t="shared" si="6"/>
        <v>ESLD Skidder</v>
      </c>
      <c r="S175" s="24" t="s">
        <v>2048</v>
      </c>
      <c r="T175" s="1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16</v>
      </c>
      <c r="W175" s="421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>
      <c r="A176" s="272" t="s">
        <v>2443</v>
      </c>
      <c r="C176" s="367" t="s">
        <v>11</v>
      </c>
      <c r="F176" s="367" t="s">
        <v>2456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" t="str">
        <f t="shared" si="6"/>
        <v>ESLD Roller</v>
      </c>
      <c r="S176" s="24" t="s">
        <v>2052</v>
      </c>
      <c r="T176" s="1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8</v>
      </c>
      <c r="W176" s="421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>
      <c r="A177" s="272" t="s">
        <v>2443</v>
      </c>
      <c r="C177" s="367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" t="str">
        <f t="shared" si="6"/>
        <v>3" x 2 Black Tape</v>
      </c>
      <c r="S177" s="24" t="s">
        <v>1893</v>
      </c>
      <c r="T177" s="1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88</v>
      </c>
      <c r="W177" s="421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>
      <c r="A178" s="272" t="s">
        <v>2443</v>
      </c>
      <c r="C178" s="367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" t="str">
        <f t="shared" si="6"/>
        <v>VT210 Neutral Sealant Clear/WH/Grey 300ML</v>
      </c>
      <c r="S178" s="24" t="s">
        <v>1974</v>
      </c>
      <c r="T178" s="1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781</v>
      </c>
      <c r="W178" s="421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>
      <c r="A179" s="272" t="s">
        <v>2443</v>
      </c>
      <c r="C179" s="367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" t="str">
        <f t="shared" si="6"/>
        <v>F18 Gasket</v>
      </c>
      <c r="S179" s="24" t="s">
        <v>1905</v>
      </c>
      <c r="T179" s="1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64</v>
      </c>
      <c r="W179" s="421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>
      <c r="A180" s="272" t="s">
        <v>2443</v>
      </c>
      <c r="B180" s="395"/>
      <c r="C180" s="395" t="s">
        <v>11</v>
      </c>
      <c r="D180" s="395"/>
      <c r="E180" s="395"/>
      <c r="F180" s="395"/>
      <c r="G180" s="395"/>
      <c r="H180" s="395"/>
      <c r="I180" s="395"/>
      <c r="J180" s="395"/>
      <c r="K180" s="395"/>
      <c r="L180" s="395"/>
      <c r="M180" s="395"/>
      <c r="N180" s="395"/>
      <c r="O180" s="395"/>
      <c r="P180" s="396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396" t="str">
        <f>IF($S180="","",IFERROR(_xlfn.XLOOKUP($S180,CostData!$U$22:$U$1000,CostData!$T$22:$T$1000,""),""))</f>
        <v>Gasket</v>
      </c>
      <c r="R180" s="396" t="str">
        <f t="shared" si="6"/>
        <v>6154 Gasket</v>
      </c>
      <c r="S180" s="411">
        <v>6154</v>
      </c>
      <c r="T180" s="396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396">
        <f>IF(SUM($V$63:$V$64)=0,"",SUM($V$63:$V$64)*2)</f>
        <v>48</v>
      </c>
      <c r="W180" s="42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>
      <c r="A181" s="272" t="s">
        <v>2443</v>
      </c>
      <c r="B181" s="408" t="s">
        <v>1840</v>
      </c>
      <c r="C181" s="408" t="s">
        <v>1512</v>
      </c>
      <c r="D181" s="408" t="s">
        <v>1791</v>
      </c>
      <c r="E181" s="408" t="str" cm="1">
        <f t="array" ref="E181:E190">IFERROR(INDEX(_xlfn._xlws.FILTER(CostData!$P$3:$P$12,CostData!$P$3:$P$12&lt;&gt;""),_xlfn.SEQUENCE(10)),"")</f>
        <v>Default</v>
      </c>
      <c r="F181" s="408" t="str">
        <f>"▼ [Product Subtype]"</f>
        <v>▼ [Product Subtype]</v>
      </c>
      <c r="G181" s="408" t="str">
        <f>"▼ [Fix - Casement]"</f>
        <v>▼ [Fix - Casement]</v>
      </c>
      <c r="H181" s="408" t="str">
        <f>"▼ [Hung Window - Casement]"</f>
        <v>▼ [Hung Window - Casement]</v>
      </c>
      <c r="I181" s="408" t="s">
        <v>1852</v>
      </c>
      <c r="J181" s="408" t="s">
        <v>1853</v>
      </c>
      <c r="K181" s="408" t="s">
        <v>1854</v>
      </c>
      <c r="L181" s="408" t="s">
        <v>1855</v>
      </c>
      <c r="M181" s="415">
        <v>0.59596199999999999</v>
      </c>
      <c r="N181" s="404">
        <v>914.4</v>
      </c>
      <c r="O181" s="408"/>
      <c r="P181" s="404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4" t="str" cm="1">
        <f t="array" ref="Q181">_xlfn.LET(_xlpm.cd,INDEX($S:$S,ROW()),IF(_xlpm.cd="","",IFERROR(_xlfn.XLOOKUP(_xlpm.cd,CostData!$C$22:$C$1000,CostData!$B$22:$B$1000,""),"")))</f>
        <v>Aluminium</v>
      </c>
      <c r="R181" s="404" t="str">
        <f>T181</f>
        <v>Inner Lock</v>
      </c>
      <c r="S181" s="410" t="s">
        <v>2017</v>
      </c>
      <c r="T181" s="404" t="str" cm="1">
        <f t="array" ref="T181">_xlfn.LET(_xlpm.cd,INDEX($S:$S,ROW()),IF(_xlpm.cd="","",IFERROR(_xlfn.XLOOKUP(_xlpm.cd,CostData!$C$22:$C$1000,CostData!$E$22:$E$1000,""),"")))</f>
        <v>Inner Lock</v>
      </c>
      <c r="U181" s="404" t="s">
        <v>103</v>
      </c>
      <c r="V181" s="404" cm="1">
        <f t="array" ref="V181">_xlfn.LET(_xlpm.p,IF(Enginuity!$B$14&lt;&gt;"",Enginuity!$B$14,Enginuity!$B$13),_xlpm.h,Enginuity!$B$7,IF(OR(_xlpm.p="",_xlpm.h=""),"",_xlfn.SWITCH(_xlpm.p,2,2*_xlpm.h,3,2*_xlpm.h,4,2*_xlpm.h,6,4*_xlpm.h,"")))</f>
        <v>16</v>
      </c>
      <c r="W181" s="423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>
      <c r="A182" s="272" t="s">
        <v>2443</v>
      </c>
      <c r="B182" s="367" t="s">
        <v>1842</v>
      </c>
      <c r="C182" s="367" t="s">
        <v>1512</v>
      </c>
      <c r="D182" s="367" t="s">
        <v>1813</v>
      </c>
      <c r="E182" s="367" t="str">
        <v>Black Aluminium Mesh 1.6mm</v>
      </c>
      <c r="G182" s="367" t="s">
        <v>1860</v>
      </c>
      <c r="H182" s="367" t="s">
        <v>1860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" t="str">
        <f t="shared" ref="R182:R191" si="7">T182</f>
        <v>Inner Bottom</v>
      </c>
      <c r="S182" s="24" t="s">
        <v>2018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8</v>
      </c>
      <c r="W182" s="421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>
      <c r="A183" s="272" t="s">
        <v>2443</v>
      </c>
      <c r="B183" s="367" t="s">
        <v>382</v>
      </c>
      <c r="C183" s="367" t="s">
        <v>1512</v>
      </c>
      <c r="D183" s="367" t="s">
        <v>1792</v>
      </c>
      <c r="E183" s="367" t="str">
        <v>Black Aluminium Mesh 1.8mm</v>
      </c>
      <c r="G183" s="367" t="s">
        <v>1861</v>
      </c>
      <c r="H183" s="367" t="s">
        <v>1861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" t="str">
        <f t="shared" si="7"/>
        <v>Inner Top</v>
      </c>
      <c r="S183" s="24" t="s">
        <v>2019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8</v>
      </c>
      <c r="W183" s="421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>
      <c r="A184" s="272" t="s">
        <v>2443</v>
      </c>
      <c r="B184" s="367" t="s">
        <v>1841</v>
      </c>
      <c r="C184" s="367" t="s">
        <v>1512</v>
      </c>
      <c r="D184" s="367" t="s">
        <v>1814</v>
      </c>
      <c r="E184" s="367" t="str">
        <v>Black Stainless Steel Mesh 1.0mm</v>
      </c>
      <c r="G184" s="367" t="s">
        <v>1862</v>
      </c>
      <c r="H184" s="367" t="s">
        <v>1862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" t="str">
        <f t="shared" si="7"/>
        <v>Inner Hook</v>
      </c>
      <c r="S184" s="24" t="s">
        <v>2020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16</v>
      </c>
      <c r="W184" s="421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>
      <c r="A185" s="272" t="s">
        <v>2443</v>
      </c>
      <c r="C185" s="367" t="s">
        <v>1512</v>
      </c>
      <c r="E185" s="367" t="str">
        <v/>
      </c>
      <c r="G185" s="367" t="s">
        <v>1863</v>
      </c>
      <c r="H185" s="367" t="s">
        <v>1863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" t="str">
        <f t="shared" si="7"/>
        <v>Outer Stand 2-Way</v>
      </c>
      <c r="S185" s="24" t="s">
        <v>2021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cm="1">
        <f t="array" ref="V185">_xlfn.LET(_xlpm.p,IF(Enginuity!$B$14&lt;&gt;"",Enginuity!$B$14,Enginuity!$B$13),_xlpm.h,Enginuity!$B$7,IF(OR(_xlpm.p="",_xlpm.h=""),"",_xlfn.SWITCH(_xlpm.p,2,2*_xlpm.h,4,2*_xlpm.h,"")))</f>
        <v>16</v>
      </c>
      <c r="W185" s="421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>
      <c r="A186" s="272" t="s">
        <v>2443</v>
      </c>
      <c r="C186" s="367" t="s">
        <v>1512</v>
      </c>
      <c r="E186" s="367" t="str">
        <v/>
      </c>
      <c r="G186" s="367" t="s">
        <v>1864</v>
      </c>
      <c r="H186" s="367" t="s">
        <v>1864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" t="str">
        <f t="shared" si="7"/>
        <v>Outer Top 2-Way</v>
      </c>
      <c r="S186" s="24" t="s">
        <v>2022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8</v>
      </c>
      <c r="W186" s="421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>
      <c r="A187" s="272" t="s">
        <v>2443</v>
      </c>
      <c r="C187" s="367" t="s">
        <v>1512</v>
      </c>
      <c r="E187" s="367" t="str">
        <v/>
      </c>
      <c r="G187" s="367" t="s">
        <v>1865</v>
      </c>
      <c r="H187" s="367" t="s">
        <v>1865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" t="str">
        <f t="shared" si="7"/>
        <v>Outer Bottom 2-Way</v>
      </c>
      <c r="S187" s="24" t="s">
        <v>2023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8</v>
      </c>
      <c r="W187" s="421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>
      <c r="A188" s="272" t="s">
        <v>2443</v>
      </c>
      <c r="C188" s="367" t="s">
        <v>1512</v>
      </c>
      <c r="E188" s="367" t="str">
        <v/>
      </c>
      <c r="G188" s="367" t="s">
        <v>1866</v>
      </c>
      <c r="H188" s="367" t="s">
        <v>1866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" t="str">
        <f t="shared" si="7"/>
        <v>Outer Top 1-Way</v>
      </c>
      <c r="S188" s="24" t="s">
        <v>2024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421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>
      <c r="A189" s="272" t="s">
        <v>2443</v>
      </c>
      <c r="C189" s="367" t="s">
        <v>1512</v>
      </c>
      <c r="E189" s="367" t="str">
        <v/>
      </c>
      <c r="G189" s="367" t="s">
        <v>1867</v>
      </c>
      <c r="H189" s="367" t="s">
        <v>1867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" t="str">
        <f t="shared" si="7"/>
        <v>Outer Bottom 1-Way</v>
      </c>
      <c r="S189" s="24" t="s">
        <v>2025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421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>
      <c r="A190" s="272" t="s">
        <v>2443</v>
      </c>
      <c r="C190" s="367" t="s">
        <v>1512</v>
      </c>
      <c r="E190" s="367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" t="str">
        <f t="shared" si="7"/>
        <v>Outer Stand 3-Way</v>
      </c>
      <c r="S190" s="24" t="s">
        <v>2029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421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>
      <c r="A191" s="272" t="s">
        <v>2443</v>
      </c>
      <c r="C191" s="367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" t="str">
        <f t="shared" si="7"/>
        <v>Centre Jamb</v>
      </c>
      <c r="S191" s="24" t="s">
        <v>2041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cm="1">
        <f t="array" ref="V191">_xlfn.LET(_xlpm.p,IF(Enginuity!$B$14&lt;&gt;"",Enginuity!$B$14,Enginuity!$B$13),_xlpm.h,Enginuity!$B$7,IF(OR(_xlpm.p="",_xlpm.h=""),"",_xlfn.SWITCH(_xlpm.p,4,_xlpm.h,6,_xlpm.h,"")))</f>
        <v>8</v>
      </c>
      <c r="W191" s="421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>
      <c r="A192" s="272" t="s">
        <v>2443</v>
      </c>
      <c r="C192" s="367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421"/>
    </row>
    <row r="193" spans="1:23">
      <c r="A193" s="272" t="s">
        <v>2443</v>
      </c>
      <c r="C193" s="367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421"/>
    </row>
    <row r="194" spans="1:23">
      <c r="A194" s="272" t="s">
        <v>2443</v>
      </c>
      <c r="C194" s="367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421"/>
    </row>
    <row r="195" spans="1:23">
      <c r="A195" s="272" t="s">
        <v>2443</v>
      </c>
      <c r="C195" s="367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421"/>
    </row>
    <row r="196" spans="1:23">
      <c r="A196" s="272" t="s">
        <v>2443</v>
      </c>
      <c r="C196" s="367" t="s">
        <v>1512</v>
      </c>
      <c r="F196" s="367" t="str">
        <f>"▼ [Insert]"</f>
        <v>▼ [Insert]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6" s="1" t="str">
        <f>"Insert"</f>
        <v>Insert</v>
      </c>
      <c r="R196" s="9" t="str">
        <f>S196</f>
        <v>Breezway 102mm Glass Infill</v>
      </c>
      <c r="S196" s="417" t="str">
        <f>Enginuity!$A$21</f>
        <v>Breezway 102mm Glass Infill</v>
      </c>
      <c r="T196" s="9" t="str">
        <f>S196</f>
        <v>Breezway 102mm Glass Infill</v>
      </c>
      <c r="U196" s="1" t="s">
        <v>176</v>
      </c>
      <c r="V196" s="1" cm="1">
        <f t="array" ref="V196">_xlfn.LET(_xlpm.vSel,TRIM(SUBSTITUTE(Enginuity!$A$21,CHAR(160)," ")),_xlpm.vCode,TRIM(SUBSTITUTE(INDEX(S:S,ROW()),CHAR(160)," ")),IF(AND(_xlpm.vSel&lt;&gt;"",_xlpm.vCode&lt;&gt;"",_xlpm.vSel=_xlpm.vCode),1,""))</f>
        <v>1</v>
      </c>
      <c r="W196" s="421" cm="1">
        <f t="array" ref="W196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197" spans="1:23">
      <c r="A197" s="272" t="s">
        <v>2443</v>
      </c>
      <c r="C197" s="367" t="s">
        <v>1512</v>
      </c>
      <c r="F197" s="367" t="s">
        <v>2079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tr" cm="1">
        <f t="array" ref="Q19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197" s="1" t="str">
        <f>IF($T197="","","⬒ "&amp;$T197)</f>
        <v>⬒ Default</v>
      </c>
      <c r="S197" s="24" t="s">
        <v>1828</v>
      </c>
      <c r="T197" s="1" t="str" cm="1">
        <f t="array" ref="T19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197" s="1" t="str" cm="1">
        <f t="array" ref="U19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197" s="1" t="str">
        <f>IF(LEFT(UPPER(TRIM(SUBSTITUTE(Enginuity!$A$21,CHAR(160)," "))),8)="BREEZWAY","",IF(Enginuity!$B$9="","",Enginuity!$B$9))</f>
        <v/>
      </c>
      <c r="W197" s="421" cm="1">
        <f t="array" ref="W19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198" spans="1:23">
      <c r="A198" s="272" t="s">
        <v>2443</v>
      </c>
      <c r="C198" s="367" t="s">
        <v>1512</v>
      </c>
      <c r="F198" s="367" t="s">
        <v>2080</v>
      </c>
      <c r="W198" s="421"/>
    </row>
    <row r="199" spans="1:23">
      <c r="A199" s="272" t="s">
        <v>2443</v>
      </c>
      <c r="C199" s="367" t="s">
        <v>1512</v>
      </c>
      <c r="F199" s="367" t="s">
        <v>2081</v>
      </c>
      <c r="W199" s="421"/>
    </row>
    <row r="200" spans="1:23">
      <c r="A200" s="272" t="s">
        <v>2443</v>
      </c>
      <c r="C200" s="367" t="s">
        <v>1512</v>
      </c>
      <c r="F200" s="367" t="s">
        <v>2426</v>
      </c>
      <c r="W200" s="421"/>
    </row>
    <row r="201" spans="1:23">
      <c r="A201" s="272" t="s">
        <v>2443</v>
      </c>
      <c r="C201" s="367" t="s">
        <v>1512</v>
      </c>
      <c r="F201" s="367" t="s">
        <v>2427</v>
      </c>
      <c r="W201" s="421"/>
    </row>
    <row r="202" spans="1:23">
      <c r="A202" s="272" t="s">
        <v>2443</v>
      </c>
      <c r="C202" s="367" t="s">
        <v>1512</v>
      </c>
      <c r="F202" s="367" t="s">
        <v>2428</v>
      </c>
      <c r="W202" s="421"/>
    </row>
    <row r="203" spans="1:23">
      <c r="A203" s="272" t="s">
        <v>2443</v>
      </c>
      <c r="C203" s="367" t="s">
        <v>1512</v>
      </c>
      <c r="F203" s="367" t="s">
        <v>2429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421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>
      <c r="A204" s="272" t="s">
        <v>2443</v>
      </c>
      <c r="C204" s="367" t="s">
        <v>1512</v>
      </c>
      <c r="F204" s="367" t="s">
        <v>2430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" t="str">
        <f t="shared" ref="R204:R210" si="8">IF($S204="","",$T204)</f>
        <v>Sliding Door Lock A6-32mm</v>
      </c>
      <c r="S204" s="24" t="s">
        <v>2045</v>
      </c>
      <c r="T204" s="1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421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>
      <c r="A205" s="272" t="s">
        <v>2443</v>
      </c>
      <c r="C205" s="367" t="s">
        <v>1512</v>
      </c>
      <c r="F205" s="367" t="s">
        <v>2431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" t="str">
        <f t="shared" si="8"/>
        <v>SSLD Skidder</v>
      </c>
      <c r="S205" s="24" t="s">
        <v>2051</v>
      </c>
      <c r="T205" s="1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16</v>
      </c>
      <c r="W205" s="421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>
      <c r="A206" s="272" t="s">
        <v>2443</v>
      </c>
      <c r="C206" s="367" t="s">
        <v>1512</v>
      </c>
      <c r="F206" s="367" t="s">
        <v>2456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" t="str">
        <f t="shared" si="8"/>
        <v/>
      </c>
      <c r="S206" s="24" t="s">
        <v>2054</v>
      </c>
      <c r="T206" s="1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8</v>
      </c>
      <c r="W206" s="421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>
      <c r="A207" s="272" t="s">
        <v>2443</v>
      </c>
      <c r="C207" s="367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" t="str">
        <f t="shared" si="8"/>
        <v>3" x 2 Black Tape</v>
      </c>
      <c r="S207" s="24" t="s">
        <v>1893</v>
      </c>
      <c r="T207" s="1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88</v>
      </c>
      <c r="W207" s="421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>
      <c r="A208" s="272" t="s">
        <v>2443</v>
      </c>
      <c r="C208" s="367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" t="str">
        <f t="shared" si="8"/>
        <v>VT210 Neutral Sealant Clear/WH/Grey 300ML</v>
      </c>
      <c r="S208" s="24" t="s">
        <v>1974</v>
      </c>
      <c r="T208" s="1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781</v>
      </c>
      <c r="W208" s="421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>
      <c r="A209" s="272" t="s">
        <v>2443</v>
      </c>
      <c r="C209" s="367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" t="str">
        <f t="shared" si="8"/>
        <v>F18 Gasket</v>
      </c>
      <c r="S209" s="24" t="s">
        <v>1905</v>
      </c>
      <c r="T209" s="1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64</v>
      </c>
      <c r="W209" s="421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>
      <c r="A210" s="272" t="s">
        <v>2443</v>
      </c>
      <c r="C210" s="367" t="s">
        <v>1512</v>
      </c>
      <c r="F210" s="395"/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" t="str">
        <f t="shared" si="8"/>
        <v>6154 Gasket</v>
      </c>
      <c r="S210" s="24">
        <v>6154</v>
      </c>
      <c r="T210" s="1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48</v>
      </c>
      <c r="W210" s="421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>
      <c r="A211" s="272" t="s">
        <v>2443</v>
      </c>
      <c r="B211" s="408" t="s">
        <v>1840</v>
      </c>
      <c r="C211" s="408" t="s">
        <v>91</v>
      </c>
      <c r="D211" s="408" t="s">
        <v>1791</v>
      </c>
      <c r="E211" s="408" t="str" cm="1">
        <f t="array" ref="E211:E220">IFERROR(INDEX(_xlfn._xlws.FILTER(CostData!$P$3:$P$12,CostData!$P$3:$P$12&lt;&gt;""),_xlfn.SEQUENCE(10)),"")</f>
        <v>Default</v>
      </c>
      <c r="F211" s="408" t="str">
        <f>"▼ [Product Subtype]"</f>
        <v>▼ [Product Subtype]</v>
      </c>
      <c r="G211" s="408" t="str">
        <f>"▼ [Fix - Casement]"</f>
        <v>▼ [Fix - Casement]</v>
      </c>
      <c r="H211" s="408" t="str">
        <f>"▼ [Hung Window - Casement]"</f>
        <v>▼ [Hung Window - Casement]</v>
      </c>
      <c r="I211" s="408" t="s">
        <v>1852</v>
      </c>
      <c r="J211" s="408" t="s">
        <v>1853</v>
      </c>
      <c r="K211" s="408" t="s">
        <v>1854</v>
      </c>
      <c r="L211" s="408" t="s">
        <v>1855</v>
      </c>
      <c r="M211" s="415">
        <v>0.58540000000000003</v>
      </c>
      <c r="N211" s="404">
        <v>914.4</v>
      </c>
      <c r="O211" s="408"/>
      <c r="P211" s="404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4" t="str" cm="1">
        <f t="array" ref="Q211">_xlfn.LET(_xlpm.cd,INDEX($S:$S,ROW()),IF(_xlpm.cd="","",IFERROR(_xlfn.XLOOKUP(_xlpm.cd,CostData!$C$22:$C$1000,CostData!$B$22:$B$1000,""),"")))</f>
        <v>Aluminium</v>
      </c>
      <c r="R211" s="404" t="s">
        <v>2196</v>
      </c>
      <c r="S211" s="410" t="s">
        <v>2062</v>
      </c>
      <c r="T211" s="404" t="str" cm="1">
        <f t="array" ref="T211">_xlfn.LET(_xlpm.cd,INDEX($S:$S,ROW()),IF(_xlpm.cd="","",IFERROR(_xlfn.XLOOKUP(_xlpm.cd,CostData!$C$22:$C$1000,CostData!$E$22:$E$1000,""),"")))</f>
        <v>Swing Door 4" Profile</v>
      </c>
      <c r="U211" s="404" t="s">
        <v>103</v>
      </c>
      <c r="V211" s="404">
        <f>IF(OR(Enginuity!$B$7="",Enginuity!$B$13=""),"",(Enginuity!$B$7+(4/12))*Enginuity!$B$13*2)</f>
        <v>66.666666666666671</v>
      </c>
      <c r="W211" s="423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>
      <c r="A212" s="272" t="s">
        <v>2443</v>
      </c>
      <c r="B212" s="367" t="s">
        <v>1842</v>
      </c>
      <c r="C212" s="367" t="s">
        <v>91</v>
      </c>
      <c r="D212" s="367" t="s">
        <v>1813</v>
      </c>
      <c r="E212" s="367" t="str">
        <v>Black Aluminium Mesh 1.6mm</v>
      </c>
      <c r="G212" s="367" t="s">
        <v>1860</v>
      </c>
      <c r="H212" s="367" t="s">
        <v>1860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" t="s">
        <v>2197</v>
      </c>
      <c r="S212" s="24" t="s">
        <v>2062</v>
      </c>
      <c r="T212" s="1" t="str" cm="1">
        <f t="array" ref="T212">_xlfn.LET(_xlpm.cd,INDEX($S:$S,ROW()),IF(_xlpm.cd="","",IFERROR(_xlfn.XLOOKUP(_xlpm.cd,CostData!$C$22:$C$1000,CostData!$E$22:$E$1000,""),"")))</f>
        <v>Swing Door 4" Profile</v>
      </c>
      <c r="U212" s="1" t="s">
        <v>103</v>
      </c>
      <c r="V212" s="1" cm="1">
        <f t="array" ref="V212">IF(Enginuity!$B$6="","",_xlfn.LET(_xlpm.w,Enginuity!$B$6,_xlpm.p,_xlfn.SWITCH(TRUE,_xlpm.w&lt;=3,1,_xlpm.w&lt;=6,2,_xlpm.w&lt;=12,4,""),IF(_xlpm.p="","",_xlfn.LET(_xlpm.piece,((_xlpm.w+IF(_xlpm.p=1,0,4/12))/_xlpm.p)-(8/12),IF(_xlpm.piece&lt;=0,"",_xlpm.piece*_xlpm.p*2)))))</f>
        <v>11.333333333333336</v>
      </c>
      <c r="W212" s="421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>
      <c r="A213" s="272" t="s">
        <v>2443</v>
      </c>
      <c r="B213" s="367" t="s">
        <v>382</v>
      </c>
      <c r="C213" s="367" t="s">
        <v>91</v>
      </c>
      <c r="D213" s="367" t="s">
        <v>1792</v>
      </c>
      <c r="E213" s="367" t="str">
        <v>Black Aluminium Mesh 1.8mm</v>
      </c>
      <c r="G213" s="367" t="s">
        <v>1861</v>
      </c>
      <c r="H213" s="367" t="s">
        <v>1861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" t="str">
        <f t="shared" ref="R213:R221" si="9">T213</f>
        <v>Swing Door Centre Clip</v>
      </c>
      <c r="S213" s="24" t="s">
        <v>2065</v>
      </c>
      <c r="T213" s="1" t="str" cm="1">
        <f t="array" ref="T213">_xlfn.LET(_xlpm.cd,INDEX($S:$S,ROW()),IF(_xlpm.cd="","",IFERROR(_xlfn.XLOOKUP(_xlpm.cd,CostData!$C$22:$C$1000,CostData!$E$22:$E$1000,""),"")))</f>
        <v>Swing Door Centre Clip</v>
      </c>
      <c r="U213" s="1" t="s">
        <v>103</v>
      </c>
      <c r="V213" s="1">
        <f>_xlfn.LET(
_xlpm.h,Enginuity!$B$7,
_xlpm.p,Enginuity!$B$13,
IF(
OR(_xlpm.h="",_xlpm.p=""),
"",
IF(OR(_xlpm.p=2,_xlpm.p=4),(_xlpm.h+(4/12))*2,"")
))</f>
        <v>16.666666666666668</v>
      </c>
      <c r="W213" s="421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>
      <c r="A214" s="272" t="s">
        <v>2443</v>
      </c>
      <c r="B214" s="367" t="s">
        <v>1841</v>
      </c>
      <c r="C214" s="367" t="s">
        <v>91</v>
      </c>
      <c r="D214" s="367" t="s">
        <v>1814</v>
      </c>
      <c r="E214" s="367" t="str">
        <v>Black Stainless Steel Mesh 1.0mm</v>
      </c>
      <c r="G214" s="367" t="s">
        <v>1862</v>
      </c>
      <c r="H214" s="367" t="s">
        <v>1862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" t="str">
        <f t="shared" si="9"/>
        <v>Top Hang SLD Track</v>
      </c>
      <c r="S214" s="24" t="s">
        <v>2195</v>
      </c>
      <c r="T214" s="1" t="str" cm="1">
        <f t="array" ref="T214">_xlfn.LET(_xlpm.cd,INDEX($S:$S,ROW()),IF(_xlpm.cd="","",IFERROR(_xlfn.XLOOKUP(_xlpm.cd,CostData!$C$22:$C$1000,CostData!$E$22:$E$1000,""),"")))</f>
        <v>Top Hang SLD Track</v>
      </c>
      <c r="U214" s="1" t="s">
        <v>103</v>
      </c>
      <c r="V214" s="1">
        <f>_xlfn.LET(
_xlpm.w,Enginuity!$B$6,
_xlpm.p,Enginuity!$B$13,
IF(
OR(_xlpm.w="",_xlpm.p=""),
"",
IF(OR(_xlpm.p=1,_xlpm.p=2,_xlpm.p=4),_xlpm.w*2,"")
))</f>
        <v>16</v>
      </c>
      <c r="W214" s="421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>
      <c r="A215" s="272" t="s">
        <v>2443</v>
      </c>
      <c r="C215" s="367" t="s">
        <v>91</v>
      </c>
      <c r="E215" s="367" t="str">
        <v/>
      </c>
      <c r="G215" s="367" t="s">
        <v>1863</v>
      </c>
      <c r="H215" s="367" t="s">
        <v>1863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/>
      </c>
      <c r="R215" s="1" t="str">
        <f t="shared" si="9"/>
        <v/>
      </c>
      <c r="T215" s="1" t="str" cm="1">
        <f t="array" ref="T215">_xlfn.LET(_xlpm.cd,INDEX($S:$S,ROW()),IF(_xlpm.cd="","",IFERROR(_xlfn.XLOOKUP(_xlpm.cd,CostData!$C$22:$C$1000,CostData!$E$22:$E$1000,""),"")))</f>
        <v/>
      </c>
      <c r="U215" s="1" t="s">
        <v>103</v>
      </c>
      <c r="W215" s="421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>
      <c r="A216" s="272" t="s">
        <v>2443</v>
      </c>
      <c r="C216" s="367" t="s">
        <v>91</v>
      </c>
      <c r="E216" s="367" t="str">
        <v/>
      </c>
      <c r="G216" s="367" t="s">
        <v>1864</v>
      </c>
      <c r="H216" s="367" t="s">
        <v>1864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/>
      </c>
      <c r="R216" s="1" t="str">
        <f t="shared" si="9"/>
        <v/>
      </c>
      <c r="T216" s="1" t="str" cm="1">
        <f t="array" ref="T216">_xlfn.LET(_xlpm.cd,INDEX($S:$S,ROW()),IF(_xlpm.cd="","",IFERROR(_xlfn.XLOOKUP(_xlpm.cd,CostData!$C$22:$C$1000,CostData!$E$22:$E$1000,""),"")))</f>
        <v/>
      </c>
      <c r="U216" s="1" t="s">
        <v>103</v>
      </c>
      <c r="W216" s="421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>
      <c r="A217" s="272" t="s">
        <v>2443</v>
      </c>
      <c r="C217" s="367" t="s">
        <v>91</v>
      </c>
      <c r="E217" s="367" t="str">
        <v/>
      </c>
      <c r="G217" s="367" t="s">
        <v>1865</v>
      </c>
      <c r="H217" s="367" t="s">
        <v>1865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/>
      </c>
      <c r="R217" s="1" t="str">
        <f t="shared" si="9"/>
        <v/>
      </c>
      <c r="T217" s="1" t="str" cm="1">
        <f t="array" ref="T217">_xlfn.LET(_xlpm.cd,INDEX($S:$S,ROW()),IF(_xlpm.cd="","",IFERROR(_xlfn.XLOOKUP(_xlpm.cd,CostData!$C$22:$C$1000,CostData!$E$22:$E$1000,""),"")))</f>
        <v/>
      </c>
      <c r="U217" s="1" t="s">
        <v>103</v>
      </c>
      <c r="W217" s="421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>
      <c r="A218" s="272" t="s">
        <v>2443</v>
      </c>
      <c r="C218" s="367" t="s">
        <v>91</v>
      </c>
      <c r="E218" s="367" t="str">
        <v/>
      </c>
      <c r="G218" s="367" t="s">
        <v>1866</v>
      </c>
      <c r="H218" s="367" t="s">
        <v>1866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/>
      </c>
      <c r="R218" s="1" t="str">
        <f t="shared" si="9"/>
        <v/>
      </c>
      <c r="T218" s="1" t="str" cm="1">
        <f t="array" ref="T218">_xlfn.LET(_xlpm.cd,INDEX($S:$S,ROW()),IF(_xlpm.cd="","",IFERROR(_xlfn.XLOOKUP(_xlpm.cd,CostData!$C$22:$C$1000,CostData!$E$22:$E$1000,""),"")))</f>
        <v/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421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>
      <c r="A219" s="272" t="s">
        <v>2443</v>
      </c>
      <c r="C219" s="367" t="s">
        <v>91</v>
      </c>
      <c r="E219" s="367" t="str">
        <v/>
      </c>
      <c r="G219" s="367" t="s">
        <v>1867</v>
      </c>
      <c r="H219" s="367" t="s">
        <v>1867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/>
      </c>
      <c r="R219" s="1" t="str">
        <f t="shared" si="9"/>
        <v/>
      </c>
      <c r="T219" s="1" t="str" cm="1">
        <f t="array" ref="T219">_xlfn.LET(_xlpm.cd,INDEX($S:$S,ROW()),IF(_xlpm.cd="","",IFERROR(_xlfn.XLOOKUP(_xlpm.cd,CostData!$C$22:$C$1000,CostData!$E$22:$E$1000,""),"")))</f>
        <v/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421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>
      <c r="A220" s="272" t="s">
        <v>2443</v>
      </c>
      <c r="C220" s="367" t="s">
        <v>91</v>
      </c>
      <c r="E220" s="367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/>
      </c>
      <c r="R220" s="1" t="str">
        <f t="shared" si="9"/>
        <v/>
      </c>
      <c r="T220" s="1" t="str" cm="1">
        <f t="array" ref="T220">_xlfn.LET(_xlpm.cd,INDEX($S:$S,ROW()),IF(_xlpm.cd="","",IFERROR(_xlfn.XLOOKUP(_xlpm.cd,CostData!$C$22:$C$1000,CostData!$E$22:$E$1000,""),"")))</f>
        <v/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421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>
      <c r="A221" s="272" t="s">
        <v>2443</v>
      </c>
      <c r="C221" s="367" t="s">
        <v>91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/>
      </c>
      <c r="R221" s="1" t="str">
        <f t="shared" si="9"/>
        <v/>
      </c>
      <c r="T221" s="1" t="str" cm="1">
        <f t="array" ref="T221">_xlfn.LET(_xlpm.cd,INDEX($S:$S,ROW()),IF(_xlpm.cd="","",IFERROR(_xlfn.XLOOKUP(_xlpm.cd,CostData!$C$22:$C$1000,CostData!$E$22:$E$1000,""),"")))</f>
        <v/>
      </c>
      <c r="U221" s="1" t="s">
        <v>103</v>
      </c>
      <c r="V221" s="1" cm="1">
        <f t="array" ref="V221">_xlfn.LET(_xlpm.p,IF(Enginuity!$B$14&lt;&gt;"",Enginuity!$B$14,Enginuity!$B$13),_xlpm.h,Enginuity!$B$7,IF(OR(_xlpm.p="",_xlpm.h=""),"",_xlfn.SWITCH(_xlpm.p,4,_xlpm.h,6,_xlpm.h,"")))</f>
        <v>8</v>
      </c>
      <c r="W221" s="421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>
      <c r="A222" s="272" t="s">
        <v>2443</v>
      </c>
      <c r="C222" s="367" t="s">
        <v>91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421"/>
    </row>
    <row r="223" spans="1:23">
      <c r="A223" s="272" t="s">
        <v>2443</v>
      </c>
      <c r="C223" s="367" t="s">
        <v>91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421"/>
    </row>
    <row r="224" spans="1:23">
      <c r="A224" s="272" t="s">
        <v>2443</v>
      </c>
      <c r="C224" s="367" t="s">
        <v>91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421"/>
    </row>
    <row r="225" spans="1:23">
      <c r="A225" s="272" t="s">
        <v>2443</v>
      </c>
      <c r="C225" s="367" t="s">
        <v>91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421"/>
    </row>
    <row r="226" spans="1:23">
      <c r="A226" s="272" t="s">
        <v>2443</v>
      </c>
      <c r="C226" s="367" t="s">
        <v>91</v>
      </c>
      <c r="F226" s="367" t="str">
        <f>"▼ [Insert]"</f>
        <v>▼ [Insert]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6" s="1" t="str">
        <f>"Insert"</f>
        <v>Insert</v>
      </c>
      <c r="R226" s="9" t="str">
        <f>S226</f>
        <v>Breezway 102mm Glass Infill</v>
      </c>
      <c r="S226" s="417" t="str">
        <f>Enginuity!$A$21</f>
        <v>Breezway 102mm Glass Infill</v>
      </c>
      <c r="T226" s="9" t="str">
        <f>S226</f>
        <v>Breezway 102mm Glass Infill</v>
      </c>
      <c r="U226" s="1" t="s">
        <v>176</v>
      </c>
      <c r="V226" s="1" cm="1">
        <f t="array" ref="V226">_xlfn.LET(_xlpm.vSel,TRIM(SUBSTITUTE(Enginuity!$A$21,CHAR(160)," ")),_xlpm.vCode,TRIM(SUBSTITUTE(INDEX(S:S,ROW()),CHAR(160)," ")),IF(AND(_xlpm.vSel&lt;&gt;"",_xlpm.vCode&lt;&gt;"",_xlpm.vSel=_xlpm.vCode),1,""))</f>
        <v>1</v>
      </c>
      <c r="W226" s="421" cm="1">
        <f t="array" ref="W226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227" spans="1:23">
      <c r="A227" s="272" t="s">
        <v>2443</v>
      </c>
      <c r="C227" s="367" t="s">
        <v>91</v>
      </c>
      <c r="F227" s="367" t="s">
        <v>2079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tr" cm="1">
        <f t="array" ref="Q22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227" s="1" t="str">
        <f>IF($T227="","","⬒ "&amp;$T227)</f>
        <v>⬒ Default</v>
      </c>
      <c r="S227" s="24" t="s">
        <v>1828</v>
      </c>
      <c r="T227" s="1" t="str" cm="1">
        <f t="array" ref="T22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227" s="1" t="str" cm="1">
        <f t="array" ref="U22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227" s="1" t="str">
        <f>IF(LEFT(UPPER(TRIM(SUBSTITUTE(Enginuity!$A$21,CHAR(160)," "))),8)="BREEZWAY","",IF(Enginuity!$B$9="","",Enginuity!$B$9))</f>
        <v/>
      </c>
      <c r="W227" s="421" cm="1">
        <f t="array" ref="W22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228" spans="1:23">
      <c r="A228" s="272" t="s">
        <v>2443</v>
      </c>
      <c r="C228" s="367" t="s">
        <v>91</v>
      </c>
      <c r="F228" s="367" t="s">
        <v>2080</v>
      </c>
      <c r="W228" s="421"/>
    </row>
    <row r="229" spans="1:23">
      <c r="A229" s="272" t="s">
        <v>2443</v>
      </c>
      <c r="C229" s="367" t="s">
        <v>91</v>
      </c>
      <c r="F229" s="367" t="s">
        <v>2081</v>
      </c>
      <c r="W229" s="421"/>
    </row>
    <row r="230" spans="1:23">
      <c r="A230" s="272" t="s">
        <v>2443</v>
      </c>
      <c r="C230" s="367" t="s">
        <v>91</v>
      </c>
      <c r="F230" s="367" t="s">
        <v>2426</v>
      </c>
      <c r="W230" s="421"/>
    </row>
    <row r="231" spans="1:23">
      <c r="A231" s="272" t="s">
        <v>2443</v>
      </c>
      <c r="C231" s="367" t="s">
        <v>91</v>
      </c>
      <c r="F231" s="367" t="s">
        <v>2427</v>
      </c>
      <c r="W231" s="421"/>
    </row>
    <row r="232" spans="1:23">
      <c r="A232" s="272" t="s">
        <v>2443</v>
      </c>
      <c r="C232" s="367" t="s">
        <v>91</v>
      </c>
      <c r="F232" s="367" t="s">
        <v>2428</v>
      </c>
      <c r="W232" s="421"/>
    </row>
    <row r="233" spans="1:23">
      <c r="A233" s="272" t="s">
        <v>2443</v>
      </c>
      <c r="C233" s="367" t="s">
        <v>91</v>
      </c>
      <c r="F233" s="367" t="s">
        <v>2429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421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>
      <c r="A234" s="272" t="s">
        <v>2443</v>
      </c>
      <c r="C234" s="367" t="s">
        <v>91</v>
      </c>
      <c r="F234" s="367" t="s">
        <v>2430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" t="str">
        <f t="shared" ref="R234:R240" si="10">IF($S234="","",$T234)</f>
        <v/>
      </c>
      <c r="T234" s="1" t="str" cm="1">
        <f t="array" ref="T234">_xlfn.LET(_xlpm.cd,INDEX($S:$S,ROW()),IF(_xlpm.cd="","",IFERROR(_xlfn.XLOOKUP(_xlpm.cd,CostData!$U$22:$U$1000,CostData!$W$22:$W$1000,""),"")))</f>
        <v/>
      </c>
      <c r="U234" s="1" t="str" cm="1">
        <f t="array" ref="U234">_xlfn.LET(_xlpm.s,INDEX($S:$S,ROW()),IF(_xlpm.s="","",IFERROR(_xlfn.XLOOKUP(_xlpm.s,CostData!$U$22:$U$1000,CostData!$AA$22:$AA$1000,""),"")))</f>
        <v/>
      </c>
      <c r="V234" s="1">
        <f>IF(Enginuity!$B$13="","",1)</f>
        <v>1</v>
      </c>
      <c r="W234" s="421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>
      <c r="A235" s="272" t="s">
        <v>2443</v>
      </c>
      <c r="C235" s="367" t="s">
        <v>91</v>
      </c>
      <c r="F235" s="367" t="s">
        <v>2431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Metal Stud</v>
      </c>
      <c r="R235" s="1" t="str">
        <f t="shared" si="10"/>
        <v>3/8" Metal Stud c/w Bolt &amp; Nut</v>
      </c>
      <c r="S235" s="24" t="s">
        <v>2072</v>
      </c>
      <c r="T235" s="1" t="str" cm="1">
        <f t="array" ref="T235">_xlfn.LET(_xlpm.cd,INDEX($S:$S,ROW()),IF(_xlpm.cd="","",IFERROR(_xlfn.XLOOKUP(_xlpm.cd,CostData!$U$22:$U$1000,CostData!$W$22:$W$1000,""),"")))</f>
        <v>3/8" Metal Stud c/w Bolt &amp; Nut</v>
      </c>
      <c r="U235" s="1" t="str" cm="1">
        <f t="array" ref="U235">_xlfn.LET(_xlpm.s,INDEX($S:$S,ROW()),IF(_xlpm.s="","",IFERROR(_xlfn.XLOOKUP(_xlpm.s,CostData!$U$22:$U$1000,CostData!$AA$22:$AA$1000,""),"")))</f>
        <v>Ft</v>
      </c>
      <c r="V235" s="1">
        <f>IF(Enginuity!$B$13="","",4*Enginuity!$B$13)</f>
        <v>16</v>
      </c>
      <c r="W235" s="421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>
      <c r="A236" s="272" t="s">
        <v>2443</v>
      </c>
      <c r="C236" s="367" t="s">
        <v>91</v>
      </c>
      <c r="F236" s="367" t="s">
        <v>2456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Flush Bolt</v>
      </c>
      <c r="R236" s="1" t="str">
        <f t="shared" si="10"/>
        <v>Flush Bolt</v>
      </c>
      <c r="S236" s="24" t="s">
        <v>2073</v>
      </c>
      <c r="T236" s="1" t="str" cm="1">
        <f t="array" ref="T236">_xlfn.LET(_xlpm.cd,INDEX($S:$S,ROW()),IF(_xlpm.cd="","",IFERROR(_xlfn.XLOOKUP(_xlpm.cd,CostData!$U$22:$U$1000,CostData!$W$22:$W$1000,""),"")))</f>
        <v>Flush Bolt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8</v>
      </c>
      <c r="W236" s="421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>
      <c r="A237" s="272" t="s">
        <v>2443</v>
      </c>
      <c r="C237" s="367" t="s">
        <v>91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Dust Socket</v>
      </c>
      <c r="R237" s="1" t="str">
        <f t="shared" si="10"/>
        <v>Dust Socket</v>
      </c>
      <c r="S237" s="24" t="s">
        <v>2074</v>
      </c>
      <c r="T237" s="1" t="str" cm="1">
        <f t="array" ref="T237">_xlfn.LET(_xlpm.cd,INDEX($S:$S,ROW()),IF(_xlpm.cd="","",IFERROR(_xlfn.XLOOKUP(_xlpm.cd,CostData!$U$22:$U$1000,CostData!$W$22:$W$1000,""),"")))</f>
        <v>Dust Socket</v>
      </c>
      <c r="U237" s="1" t="str" cm="1">
        <f t="array" ref="U237">_xlfn.LET(_xlpm.s,INDEX($S:$S,ROW()),IF(_xlpm.s="","",IFERROR(_xlfn.XLOOKUP(_xlpm.s,CostData!$U$22:$U$1000,CostData!$AA$22:$AA$1000,""),"")))</f>
        <v>Pcs</v>
      </c>
      <c r="V237" s="1">
        <f>IF(SUM($V$151:$V$161)=0,"",SUM($V$151:$V$161))</f>
        <v>88</v>
      </c>
      <c r="W237" s="421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>
      <c r="A238" s="272" t="s">
        <v>2443</v>
      </c>
      <c r="C238" s="367" t="s">
        <v>91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Black Tape</v>
      </c>
      <c r="R238" s="1" t="str">
        <f t="shared" si="10"/>
        <v>4" x 2 Black Tape</v>
      </c>
      <c r="S238" s="24" t="s">
        <v>1897</v>
      </c>
      <c r="T238" s="1" t="str" cm="1">
        <f t="array" ref="T238">_xlfn.LET(_xlpm.cd,INDEX($S:$S,ROW()),IF(_xlpm.cd="","",IFERROR(_xlfn.XLOOKUP(_xlpm.cd,CostData!$U$22:$U$1000,CostData!$W$22:$W$1000,""),"")))</f>
        <v>4" x 2 Black Tape</v>
      </c>
      <c r="U238" s="1" t="str" cm="1">
        <f t="array" ref="U238">_xlfn.LET(_xlpm.s,INDEX($S:$S,ROW()),IF(_xlpm.s="","",IFERROR(_xlfn.XLOOKUP(_xlpm.s,CostData!$U$22:$U$1000,CostData!$AA$22:$AA$1000,""),"")))</f>
        <v>Ft</v>
      </c>
      <c r="V238" s="1">
        <f>_xlfn.LET(
_xlpm.o,N($V$91),
_xlpm.runFT,_xlpm.o*2,
_xlpm.ml,_xlpm.runFT*12.192,
IF(_xlpm.ml=0,"",ROUNDUP(_xlpm.ml,0))
)</f>
        <v>781</v>
      </c>
      <c r="W238" s="421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>
      <c r="A239" s="272" t="s">
        <v>2443</v>
      </c>
      <c r="C239" s="367" t="s">
        <v>91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" t="str">
        <f t="shared" si="10"/>
        <v>F18 Gasket</v>
      </c>
      <c r="S239" s="24" t="s">
        <v>1905</v>
      </c>
      <c r="T239" s="1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64</v>
      </c>
      <c r="W239" s="421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>
      <c r="A240" s="272" t="s">
        <v>2443</v>
      </c>
      <c r="B240" s="395"/>
      <c r="C240" s="395" t="s">
        <v>91</v>
      </c>
      <c r="D240" s="395"/>
      <c r="E240" s="395"/>
      <c r="F240" s="395"/>
      <c r="G240" s="395"/>
      <c r="H240" s="395"/>
      <c r="I240" s="395"/>
      <c r="J240" s="395"/>
      <c r="K240" s="395"/>
      <c r="L240" s="395"/>
      <c r="M240" s="395"/>
      <c r="N240" s="395"/>
      <c r="O240" s="395"/>
      <c r="P240" s="396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396" t="str">
        <f>IF($S240="","",IFERROR(_xlfn.XLOOKUP($S240,CostData!$U$22:$U$1000,CostData!$T$22:$T$1000,""),""))</f>
        <v>Gasket</v>
      </c>
      <c r="R240" s="396" t="str">
        <f t="shared" si="10"/>
        <v>6154 Gasket</v>
      </c>
      <c r="S240" s="411">
        <v>6154</v>
      </c>
      <c r="T240" s="396" t="str" cm="1">
        <f t="array" ref="T240">_xlfn.LET(_xlpm.cd,INDEX($S:$S,ROW()),IF(_xlpm.cd="","",IFERROR(_xlfn.XLOOKUP(_xlpm.cd,CostData!$U$22:$U$1000,CostData!$W$22:$W$1000,""),"")))</f>
        <v>6154 Gasket</v>
      </c>
      <c r="U240" s="396" t="str" cm="1">
        <f t="array" ref="U240">_xlfn.LET(_xlpm.s,INDEX($S:$S,ROW()),IF(_xlpm.s="","",IFERROR(_xlfn.XLOOKUP(_xlpm.s,CostData!$U$22:$U$1000,CostData!$AA$22:$AA$1000,""),"")))</f>
        <v>Ft</v>
      </c>
      <c r="V240" s="396">
        <f>IF(SUM($V$63:$V$64)=0,"",SUM($V$63:$V$64)*2)</f>
        <v>48</v>
      </c>
      <c r="W240" s="42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>
      <c r="A241" s="272" t="s">
        <v>2443</v>
      </c>
      <c r="B241" s="367" t="s">
        <v>1840</v>
      </c>
      <c r="C241" s="367" t="s">
        <v>12</v>
      </c>
      <c r="D241" s="367" t="s">
        <v>1791</v>
      </c>
      <c r="E241" s="367" t="str" cm="1">
        <f t="array" ref="E241:E250">IFERROR(INDEX(_xlfn._xlws.FILTER(CostData!$P$3:$P$12,CostData!$P$3:$P$12&lt;&gt;""),_xlfn.SEQUENCE(10)),"")</f>
        <v>Default</v>
      </c>
      <c r="F241" s="408" t="str">
        <f>"▼ [Product Subtype]"</f>
        <v>▼ [Product Subtype]</v>
      </c>
      <c r="G241" s="367" t="str">
        <f>"▼ [Fix - Casement]"</f>
        <v>▼ [Fix - Casement]</v>
      </c>
      <c r="H241" s="367" t="str">
        <f>"▼ [Hung Window - Casement]"</f>
        <v>▼ [Hung Window - Casement]</v>
      </c>
      <c r="I241" s="367" t="s">
        <v>1852</v>
      </c>
      <c r="J241" s="367" t="s">
        <v>1853</v>
      </c>
      <c r="K241" s="367" t="s">
        <v>1854</v>
      </c>
      <c r="L241" s="367" t="s">
        <v>1855</v>
      </c>
      <c r="M241" s="420">
        <v>0.59596199999999999</v>
      </c>
      <c r="N241" s="1">
        <v>914.4</v>
      </c>
      <c r="P241" s="1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1" t="str" cm="1">
        <f t="array" ref="Q241">_xlfn.LET(_xlpm.cd,INDEX($S:$S,ROW()),IF(_xlpm.cd="","",IFERROR(_xlfn.XLOOKUP(_xlpm.cd,CostData!$C$22:$C$1000,CostData!$B$22:$B$1000,""),"")))</f>
        <v>Aluminium</v>
      </c>
      <c r="R241" s="1" t="str">
        <f>T241</f>
        <v>Inner Lock</v>
      </c>
      <c r="S241" s="24" t="s">
        <v>2030</v>
      </c>
      <c r="T241" s="1" t="str" cm="1">
        <f t="array" ref="T241">_xlfn.LET(_xlpm.cd,INDEX($S:$S,ROW()),IF(_xlpm.cd="","",IFERROR(_xlfn.XLOOKUP(_xlpm.cd,CostData!$C$22:$C$1000,CostData!$E$22:$E$1000,""),"")))</f>
        <v>Inner Lock</v>
      </c>
      <c r="U241" s="1" t="s">
        <v>103</v>
      </c>
      <c r="V241" s="1" cm="1">
        <f t="array" ref="V241">_xlfn.LET(_xlpm.p,IF(Enginuity!$B$14&lt;&gt;"",Enginuity!$B$14,Enginuity!$B$13),_xlpm.h,Enginuity!$B$7,IF(OR(_xlpm.p="",_xlpm.h=""),"",_xlfn.SWITCH(_xlpm.p,2,2*_xlpm.h,3,2*_xlpm.h,4,2*_xlpm.h,6,4*_xlpm.h,"")))</f>
        <v>16</v>
      </c>
      <c r="W241" s="421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>
      <c r="A242" s="272" t="s">
        <v>2443</v>
      </c>
      <c r="B242" s="367" t="s">
        <v>1842</v>
      </c>
      <c r="C242" s="367" t="s">
        <v>12</v>
      </c>
      <c r="D242" s="367" t="s">
        <v>1813</v>
      </c>
      <c r="E242" s="367" t="str">
        <v>Black Aluminium Mesh 1.6mm</v>
      </c>
      <c r="G242" s="367" t="s">
        <v>1860</v>
      </c>
      <c r="H242" s="367" t="s">
        <v>1860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" t="str">
        <f t="shared" ref="R242:R251" si="11">T242</f>
        <v>Inner Bottom</v>
      </c>
      <c r="S242" s="24" t="s">
        <v>2031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8</v>
      </c>
      <c r="W242" s="421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>
      <c r="A243" s="272" t="s">
        <v>2443</v>
      </c>
      <c r="B243" s="367" t="s">
        <v>382</v>
      </c>
      <c r="C243" s="367" t="s">
        <v>12</v>
      </c>
      <c r="D243" s="367" t="s">
        <v>1792</v>
      </c>
      <c r="E243" s="367" t="str">
        <v>Black Aluminium Mesh 1.8mm</v>
      </c>
      <c r="G243" s="367" t="s">
        <v>1861</v>
      </c>
      <c r="H243" s="367" t="s">
        <v>1861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" t="str">
        <f t="shared" si="11"/>
        <v>Inner Top</v>
      </c>
      <c r="S243" s="24" t="s">
        <v>2032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8</v>
      </c>
      <c r="W243" s="421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>
      <c r="A244" s="272" t="s">
        <v>2443</v>
      </c>
      <c r="B244" s="367" t="s">
        <v>1841</v>
      </c>
      <c r="C244" s="367" t="s">
        <v>12</v>
      </c>
      <c r="D244" s="367" t="s">
        <v>1814</v>
      </c>
      <c r="E244" s="367" t="str">
        <v>Black Stainless Steel Mesh 1.0mm</v>
      </c>
      <c r="G244" s="367" t="s">
        <v>1862</v>
      </c>
      <c r="H244" s="367" t="s">
        <v>1862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" t="str">
        <f t="shared" si="11"/>
        <v>Inner Hook</v>
      </c>
      <c r="S244" s="24" t="s">
        <v>2033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16</v>
      </c>
      <c r="W244" s="421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>
      <c r="A245" s="272" t="s">
        <v>2443</v>
      </c>
      <c r="C245" s="367" t="s">
        <v>12</v>
      </c>
      <c r="E245" s="367" t="str">
        <v/>
      </c>
      <c r="G245" s="367" t="s">
        <v>1863</v>
      </c>
      <c r="H245" s="367" t="s">
        <v>1863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" t="str">
        <f t="shared" si="11"/>
        <v>Outer Stand 2-Way</v>
      </c>
      <c r="S245" s="24" t="s">
        <v>2034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cm="1">
        <f t="array" ref="V245">_xlfn.LET(_xlpm.p,IF(Enginuity!$B$14&lt;&gt;"",Enginuity!$B$14,Enginuity!$B$13),_xlpm.h,Enginuity!$B$7,IF(OR(_xlpm.p="",_xlpm.h=""),"",_xlfn.SWITCH(_xlpm.p,2,2*_xlpm.h,4,2*_xlpm.h,"")))</f>
        <v>16</v>
      </c>
      <c r="W245" s="421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>
      <c r="A246" s="272" t="s">
        <v>2443</v>
      </c>
      <c r="C246" s="367" t="s">
        <v>12</v>
      </c>
      <c r="E246" s="367" t="str">
        <v/>
      </c>
      <c r="G246" s="367" t="s">
        <v>1864</v>
      </c>
      <c r="H246" s="367" t="s">
        <v>1864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" t="str">
        <f t="shared" si="11"/>
        <v>Outer Top 2-Way</v>
      </c>
      <c r="S246" s="24" t="s">
        <v>2035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8</v>
      </c>
      <c r="W246" s="421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>
      <c r="A247" s="272" t="s">
        <v>2443</v>
      </c>
      <c r="C247" s="367" t="s">
        <v>12</v>
      </c>
      <c r="E247" s="367" t="str">
        <v/>
      </c>
      <c r="G247" s="367" t="s">
        <v>1865</v>
      </c>
      <c r="H247" s="367" t="s">
        <v>1865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" t="str">
        <f t="shared" si="11"/>
        <v>Outer Bottom 2-Way</v>
      </c>
      <c r="S247" s="24" t="s">
        <v>2036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8</v>
      </c>
      <c r="W247" s="421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>
      <c r="A248" s="272" t="s">
        <v>2443</v>
      </c>
      <c r="C248" s="367" t="s">
        <v>12</v>
      </c>
      <c r="E248" s="367" t="str">
        <v/>
      </c>
      <c r="G248" s="367" t="s">
        <v>1866</v>
      </c>
      <c r="H248" s="367" t="s">
        <v>1866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" t="str">
        <f t="shared" si="11"/>
        <v>Outer Top 1-Way</v>
      </c>
      <c r="S248" s="24" t="s">
        <v>2038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421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>
      <c r="A249" s="272" t="s">
        <v>2443</v>
      </c>
      <c r="C249" s="367" t="s">
        <v>12</v>
      </c>
      <c r="E249" s="367" t="str">
        <v/>
      </c>
      <c r="G249" s="367" t="s">
        <v>1867</v>
      </c>
      <c r="H249" s="367" t="s">
        <v>1867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" t="str">
        <f t="shared" si="11"/>
        <v>Outer Bottom 1-Way</v>
      </c>
      <c r="S249" s="24" t="s">
        <v>2039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421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>
      <c r="A250" s="272" t="s">
        <v>2443</v>
      </c>
      <c r="C250" s="367" t="s">
        <v>12</v>
      </c>
      <c r="E250" s="367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" t="str">
        <f t="shared" si="11"/>
        <v>Outer Stand 3-Way</v>
      </c>
      <c r="S250" s="24" t="s">
        <v>2037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421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>
      <c r="A251" s="272" t="s">
        <v>2443</v>
      </c>
      <c r="C251" s="367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" t="str">
        <f t="shared" si="11"/>
        <v xml:space="preserve"> Centre Jamb</v>
      </c>
      <c r="S251" s="24" t="s">
        <v>2042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cm="1">
        <f t="array" ref="V251">_xlfn.LET(_xlpm.p,IF(Enginuity!$B$14&lt;&gt;"",Enginuity!$B$14,Enginuity!$B$13),_xlpm.h,Enginuity!$B$7,IF(OR(_xlpm.p="",_xlpm.h=""),"",_xlfn.SWITCH(_xlpm.p,4,_xlpm.h,6,_xlpm.h,"")))</f>
        <v>8</v>
      </c>
      <c r="W251" s="421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>
      <c r="A252" s="272" t="s">
        <v>2443</v>
      </c>
      <c r="C252" s="367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421"/>
    </row>
    <row r="253" spans="1:23">
      <c r="A253" s="272" t="s">
        <v>2443</v>
      </c>
      <c r="C253" s="367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421"/>
    </row>
    <row r="254" spans="1:23">
      <c r="A254" s="272" t="s">
        <v>2443</v>
      </c>
      <c r="C254" s="367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421"/>
    </row>
    <row r="255" spans="1:23">
      <c r="A255" s="272" t="s">
        <v>2443</v>
      </c>
      <c r="C255" s="367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421"/>
    </row>
    <row r="256" spans="1:23">
      <c r="A256" s="272" t="s">
        <v>2443</v>
      </c>
      <c r="C256" s="367" t="s">
        <v>12</v>
      </c>
      <c r="F256" s="367" t="str">
        <f>"▼ [Insert]"</f>
        <v>▼ [Insert]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6" s="1" t="str">
        <f>"Insert"</f>
        <v>Insert</v>
      </c>
      <c r="R256" s="9" t="str">
        <f>S256</f>
        <v>Breezway 102mm Glass Infill</v>
      </c>
      <c r="S256" s="417" t="str">
        <f>Enginuity!$A$21</f>
        <v>Breezway 102mm Glass Infill</v>
      </c>
      <c r="T256" s="9" t="str">
        <f>S256</f>
        <v>Breezway 102mm Glass Infill</v>
      </c>
      <c r="U256" s="1" t="s">
        <v>176</v>
      </c>
      <c r="V256" s="1" cm="1">
        <f t="array" ref="V256">_xlfn.LET(_xlpm.vSel,TRIM(SUBSTITUTE(Enginuity!$A$21,CHAR(160)," ")),_xlpm.vCode,TRIM(SUBSTITUTE(INDEX(S:S,ROW()),CHAR(160)," ")),IF(AND(_xlpm.vSel&lt;&gt;"",_xlpm.vCode&lt;&gt;"",_xlpm.vSel=_xlpm.vCode),1,""))</f>
        <v>1</v>
      </c>
      <c r="W256" s="421" cm="1">
        <f t="array" ref="W256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257" spans="1:23">
      <c r="A257" s="272" t="s">
        <v>2443</v>
      </c>
      <c r="C257" s="367" t="s">
        <v>12</v>
      </c>
      <c r="F257" s="367" t="s">
        <v>2079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tr" cm="1">
        <f t="array" ref="Q25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257" s="1" t="str">
        <f>IF($T257="","","⬒ "&amp;$T257)</f>
        <v>⬒ Default</v>
      </c>
      <c r="S257" s="24" t="s">
        <v>1828</v>
      </c>
      <c r="T257" s="1" t="str" cm="1">
        <f t="array" ref="T25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257" s="1" t="str" cm="1">
        <f t="array" ref="U25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257" s="1" t="str">
        <f>IF(LEFT(UPPER(TRIM(SUBSTITUTE(Enginuity!$A$21,CHAR(160)," "))),8)="BREEZWAY","",IF(Enginuity!$B$9="","",Enginuity!$B$9))</f>
        <v/>
      </c>
      <c r="W257" s="421" cm="1">
        <f t="array" ref="W25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258" spans="1:23">
      <c r="A258" s="272" t="s">
        <v>2443</v>
      </c>
      <c r="C258" s="367" t="s">
        <v>12</v>
      </c>
      <c r="F258" s="367" t="s">
        <v>2080</v>
      </c>
      <c r="W258" s="421"/>
    </row>
    <row r="259" spans="1:23">
      <c r="A259" s="272" t="s">
        <v>2443</v>
      </c>
      <c r="C259" s="367" t="s">
        <v>12</v>
      </c>
      <c r="F259" s="367" t="s">
        <v>2081</v>
      </c>
      <c r="W259" s="421"/>
    </row>
    <row r="260" spans="1:23">
      <c r="A260" s="272" t="s">
        <v>2443</v>
      </c>
      <c r="C260" s="367" t="s">
        <v>12</v>
      </c>
      <c r="F260" s="367" t="s">
        <v>2426</v>
      </c>
      <c r="W260" s="421"/>
    </row>
    <row r="261" spans="1:23">
      <c r="A261" s="272" t="s">
        <v>2443</v>
      </c>
      <c r="C261" s="367" t="s">
        <v>12</v>
      </c>
      <c r="F261" s="367" t="s">
        <v>2427</v>
      </c>
      <c r="W261" s="421"/>
    </row>
    <row r="262" spans="1:23">
      <c r="A262" s="272" t="s">
        <v>2443</v>
      </c>
      <c r="C262" s="367" t="s">
        <v>12</v>
      </c>
      <c r="F262" s="367" t="s">
        <v>2428</v>
      </c>
      <c r="W262" s="421"/>
    </row>
    <row r="263" spans="1:23">
      <c r="A263" s="272" t="s">
        <v>2443</v>
      </c>
      <c r="C263" s="367" t="s">
        <v>12</v>
      </c>
      <c r="F263" s="367" t="s">
        <v>2429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421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>
      <c r="A264" s="272" t="s">
        <v>2443</v>
      </c>
      <c r="C264" s="367" t="s">
        <v>12</v>
      </c>
      <c r="F264" s="367" t="s">
        <v>2430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" t="str">
        <f t="shared" ref="R264:R270" si="12">IF($S264="","",$T264)</f>
        <v>Cresent Lock</v>
      </c>
      <c r="S264" s="24" t="s">
        <v>2055</v>
      </c>
      <c r="T264" s="1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421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>
      <c r="A265" s="272" t="s">
        <v>2443</v>
      </c>
      <c r="C265" s="367" t="s">
        <v>12</v>
      </c>
      <c r="F265" s="367" t="s">
        <v>2431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" t="str">
        <f t="shared" si="12"/>
        <v>ESLW Skidder</v>
      </c>
      <c r="S265" s="24" t="s">
        <v>2056</v>
      </c>
      <c r="T265" s="1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16</v>
      </c>
      <c r="W265" s="421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>
      <c r="A266" s="272" t="s">
        <v>2443</v>
      </c>
      <c r="C266" s="367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" t="str">
        <f t="shared" si="12"/>
        <v>ESLW Roller</v>
      </c>
      <c r="S266" s="24" t="s">
        <v>2057</v>
      </c>
      <c r="T266" s="1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8</v>
      </c>
      <c r="W266" s="421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>
      <c r="A267" s="272" t="s">
        <v>2443</v>
      </c>
      <c r="C267" s="367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" t="str">
        <f t="shared" si="12"/>
        <v>2" x 2 Black Tape</v>
      </c>
      <c r="S267" s="24" t="s">
        <v>1889</v>
      </c>
      <c r="T267" s="1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88</v>
      </c>
      <c r="W267" s="421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>
      <c r="A268" s="272" t="s">
        <v>2443</v>
      </c>
      <c r="C268" s="367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" t="str">
        <f t="shared" si="12"/>
        <v>VT210 Neutral Sealant Clear/WH/Grey 300ML</v>
      </c>
      <c r="S268" s="24" t="s">
        <v>1974</v>
      </c>
      <c r="T268" s="1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781</v>
      </c>
      <c r="W268" s="421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>
      <c r="A269" s="272" t="s">
        <v>2443</v>
      </c>
      <c r="C269" s="367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" t="str">
        <f t="shared" si="12"/>
        <v>F18 Gasket</v>
      </c>
      <c r="S269" s="24" t="s">
        <v>1905</v>
      </c>
      <c r="T269" s="1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64</v>
      </c>
      <c r="W269" s="421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>
      <c r="A270" s="272" t="s">
        <v>2443</v>
      </c>
      <c r="C270" s="367" t="s">
        <v>12</v>
      </c>
      <c r="F270" s="395"/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" t="str">
        <f t="shared" si="12"/>
        <v>6154 Gasket</v>
      </c>
      <c r="S270" s="24">
        <v>6154</v>
      </c>
      <c r="T270" s="1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48</v>
      </c>
      <c r="W270" s="421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>
      <c r="A271" s="272" t="s">
        <v>2443</v>
      </c>
      <c r="B271" s="408" t="s">
        <v>1840</v>
      </c>
      <c r="C271" s="408" t="s">
        <v>2061</v>
      </c>
      <c r="D271" s="408" t="s">
        <v>1791</v>
      </c>
      <c r="E271" s="408" t="str" cm="1">
        <f t="array" ref="E271:E280">IFERROR(INDEX(_xlfn._xlws.FILTER(CostData!$P$3:$P$12,CostData!$P$3:$P$12&lt;&gt;""),_xlfn.SEQUENCE(10)),"")</f>
        <v>Default</v>
      </c>
      <c r="F271" s="408" t="str">
        <f>"▼ [Product Subtype]"</f>
        <v>▼ [Product Subtype]</v>
      </c>
      <c r="G271" s="408" t="str">
        <f>"▼ [Optional]"</f>
        <v>▼ [Optional]</v>
      </c>
      <c r="H271" s="408" t="str">
        <f>IFERROR(IF(A1=0,"",A1),"")</f>
        <v>Category</v>
      </c>
      <c r="I271" s="408" t="str">
        <f t="shared" ref="I271:L271" si="13">IFERROR(IF(B1=0,"",B1),"")</f>
        <v>Setting</v>
      </c>
      <c r="J271" s="408" t="str">
        <f t="shared" si="13"/>
        <v>Value</v>
      </c>
      <c r="K271" s="408" t="str">
        <f t="shared" si="13"/>
        <v/>
      </c>
      <c r="L271" s="408" t="str">
        <f t="shared" si="13"/>
        <v/>
      </c>
      <c r="M271" s="415">
        <v>0.62962300000000004</v>
      </c>
      <c r="N271" s="404">
        <v>914.4</v>
      </c>
      <c r="O271" s="408"/>
      <c r="P271" s="404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4" t="str" cm="1">
        <f t="array" ref="Q271">_xlfn.LET(_xlpm.cd,INDEX($S:$S,ROW()),IF(_xlpm.cd="","",IFERROR(_xlfn.XLOOKUP(_xlpm.cd,CostData!$C$22:$C$1000,CostData!$B$22:$B$1000,""),"")))</f>
        <v>Aluminium</v>
      </c>
      <c r="R271" s="404" t="s">
        <v>2063</v>
      </c>
      <c r="S271" s="410" t="s">
        <v>2062</v>
      </c>
      <c r="T271" s="404" t="str" cm="1">
        <f t="array" ref="T271">_xlfn.LET(_xlpm.cd,INDEX($S:$S,ROW()),IF(_xlpm.cd="","",IFERROR(_xlfn.XLOOKUP(_xlpm.cd,CostData!$C$22:$C$1000,CostData!$E$22:$E$1000,""),"")))</f>
        <v>Swing Door 4" Profile</v>
      </c>
      <c r="U271" s="404" t="s">
        <v>103</v>
      </c>
      <c r="V271" s="404">
        <f>IF(OR(Enginuity!$B$13="",Enginuity!$B$7=""),"",Enginuity!$B$13*2*Enginuity!$B$7)</f>
        <v>64</v>
      </c>
      <c r="W271" s="423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>
      <c r="A272" s="272" t="s">
        <v>2443</v>
      </c>
      <c r="B272" s="367" t="s">
        <v>1842</v>
      </c>
      <c r="C272" s="367" t="s">
        <v>2061</v>
      </c>
      <c r="D272" s="367" t="s">
        <v>1813</v>
      </c>
      <c r="E272" s="367" t="str">
        <v>Black Aluminium Mesh 1.6mm</v>
      </c>
      <c r="G272" s="367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" t="s">
        <v>2064</v>
      </c>
      <c r="S272" s="24" t="s">
        <v>2062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64</v>
      </c>
      <c r="W272" s="421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>
      <c r="A273" s="272" t="s">
        <v>2443</v>
      </c>
      <c r="B273" s="367" t="s">
        <v>382</v>
      </c>
      <c r="C273" s="367" t="s">
        <v>2061</v>
      </c>
      <c r="D273" s="367" t="s">
        <v>1792</v>
      </c>
      <c r="E273" s="367" t="str">
        <v>Black Aluminium Mesh 1.8mm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" t="str">
        <f t="shared" ref="R273:R281" si="14">T273</f>
        <v>Swing Door Centre Clip</v>
      </c>
      <c r="S273" s="24" t="s">
        <v>2065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421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>
      <c r="A274" s="272" t="s">
        <v>2443</v>
      </c>
      <c r="B274" s="367" t="s">
        <v>1841</v>
      </c>
      <c r="C274" s="367" t="s">
        <v>2061</v>
      </c>
      <c r="D274" s="367" t="s">
        <v>1814</v>
      </c>
      <c r="E274" s="367" t="str">
        <v>Black Stainless Steel Mesh 1.0mm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" t="str">
        <f t="shared" si="14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421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>
      <c r="A275" s="272" t="s">
        <v>2443</v>
      </c>
      <c r="C275" s="367" t="s">
        <v>2061</v>
      </c>
      <c r="E275" s="367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" t="str">
        <f t="shared" si="14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421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>
      <c r="A276" s="272" t="s">
        <v>2443</v>
      </c>
      <c r="C276" s="367" t="s">
        <v>2061</v>
      </c>
      <c r="E276" s="367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" t="str">
        <f t="shared" si="14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421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>
      <c r="A277" s="272" t="s">
        <v>2443</v>
      </c>
      <c r="C277" s="367" t="s">
        <v>2061</v>
      </c>
      <c r="E277" s="367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421">
        <f>IFERROR(SUMPRODUCT(V301:V330,W301:W330),"")</f>
        <v>24.266575114476545</v>
      </c>
    </row>
    <row r="278" spans="1:23">
      <c r="A278" s="272" t="s">
        <v>2443</v>
      </c>
      <c r="C278" s="367" t="s">
        <v>2061</v>
      </c>
      <c r="E278" s="367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" t="str">
        <f t="shared" si="14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421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>
      <c r="A279" s="272" t="s">
        <v>2443</v>
      </c>
      <c r="C279" s="367" t="s">
        <v>2061</v>
      </c>
      <c r="E279" s="367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" t="str">
        <f t="shared" si="14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421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>
      <c r="A280" s="272" t="s">
        <v>2443</v>
      </c>
      <c r="C280" s="367" t="s">
        <v>2061</v>
      </c>
      <c r="E280" s="367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" t="str">
        <f t="shared" si="14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421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>
      <c r="A281" s="272" t="s">
        <v>2443</v>
      </c>
      <c r="C281" s="367" t="s">
        <v>2061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" t="str">
        <f t="shared" si="14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421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>
      <c r="A282" s="272" t="s">
        <v>2443</v>
      </c>
      <c r="C282" s="367" t="s">
        <v>2061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421"/>
    </row>
    <row r="283" spans="1:23">
      <c r="A283" s="272" t="s">
        <v>2443</v>
      </c>
      <c r="C283" s="367" t="s">
        <v>2061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" t="str">
        <f t="shared" ref="R283" si="15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421">
        <f>IFERROR(SUMPRODUCT(V301:V330,W301:W330),"")</f>
        <v>24.266575114476545</v>
      </c>
    </row>
    <row r="284" spans="1:23">
      <c r="A284" s="272" t="s">
        <v>2443</v>
      </c>
      <c r="C284" s="367" t="s">
        <v>2061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421"/>
    </row>
    <row r="285" spans="1:23">
      <c r="A285" s="272" t="s">
        <v>2443</v>
      </c>
      <c r="C285" s="367" t="s">
        <v>2061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421"/>
    </row>
    <row r="286" spans="1:23">
      <c r="A286" s="272" t="s">
        <v>2443</v>
      </c>
      <c r="C286" s="367" t="s">
        <v>2061</v>
      </c>
      <c r="F286" s="367" t="str">
        <f>"▼ [Insert]"</f>
        <v>▼ [Insert]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6" s="1" t="str">
        <f>"Insert"</f>
        <v>Insert</v>
      </c>
      <c r="R286" s="9" t="str">
        <f>S286</f>
        <v>Breezway 102mm Glass Infill</v>
      </c>
      <c r="S286" s="417" t="str">
        <f>Enginuity!$A$21</f>
        <v>Breezway 102mm Glass Infill</v>
      </c>
      <c r="T286" s="9" t="str">
        <f>S286</f>
        <v>Breezway 102mm Glass Infill</v>
      </c>
      <c r="U286" s="1" t="s">
        <v>176</v>
      </c>
      <c r="V286" s="1" cm="1">
        <f t="array" ref="V286">_xlfn.LET(_xlpm.vSel,TRIM(SUBSTITUTE(Enginuity!$A$21,CHAR(160)," ")),_xlpm.vCode,TRIM(SUBSTITUTE(INDEX(S:S,ROW()),CHAR(160)," ")),IF(AND(_xlpm.vSel&lt;&gt;"",_xlpm.vCode&lt;&gt;"",_xlpm.vSel=_xlpm.vCode),1,""))</f>
        <v>1</v>
      </c>
      <c r="W286" s="421" cm="1">
        <f t="array" ref="W286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287" spans="1:23">
      <c r="A287" s="272" t="s">
        <v>2443</v>
      </c>
      <c r="C287" s="367" t="s">
        <v>2061</v>
      </c>
      <c r="F287" s="367" t="s">
        <v>2079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tr" cm="1">
        <f t="array" ref="Q28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287" s="1" t="str">
        <f>IF($T287="","","⬒ "&amp;$T287)</f>
        <v>⬒ Default</v>
      </c>
      <c r="S287" s="24" t="s">
        <v>1828</v>
      </c>
      <c r="T287" s="1" t="str" cm="1">
        <f t="array" ref="T28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287" s="1" t="str" cm="1">
        <f t="array" ref="U28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287" s="1" t="str">
        <f>IF(LEFT(UPPER(TRIM(SUBSTITUTE(Enginuity!$A$21,CHAR(160)," "))),8)="BREEZWAY","",IF(Enginuity!$B$9="","",Enginuity!$B$9))</f>
        <v/>
      </c>
      <c r="W287" s="421" cm="1">
        <f t="array" ref="W28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288" spans="1:23">
      <c r="A288" s="272" t="s">
        <v>2443</v>
      </c>
      <c r="C288" s="367" t="s">
        <v>2061</v>
      </c>
      <c r="F288" s="367" t="s">
        <v>2080</v>
      </c>
      <c r="W288" s="421"/>
    </row>
    <row r="289" spans="1:23">
      <c r="A289" s="272" t="s">
        <v>2443</v>
      </c>
      <c r="C289" s="367" t="s">
        <v>2061</v>
      </c>
      <c r="F289" s="367" t="s">
        <v>2081</v>
      </c>
      <c r="W289" s="421"/>
    </row>
    <row r="290" spans="1:23">
      <c r="A290" s="272" t="s">
        <v>2443</v>
      </c>
      <c r="C290" s="367" t="s">
        <v>2061</v>
      </c>
      <c r="F290" s="367" t="s">
        <v>2426</v>
      </c>
      <c r="W290" s="421"/>
    </row>
    <row r="291" spans="1:23">
      <c r="A291" s="272" t="s">
        <v>2443</v>
      </c>
      <c r="C291" s="367" t="s">
        <v>2061</v>
      </c>
      <c r="F291" s="367" t="s">
        <v>2427</v>
      </c>
      <c r="W291" s="421"/>
    </row>
    <row r="292" spans="1:23">
      <c r="A292" s="272" t="s">
        <v>2443</v>
      </c>
      <c r="C292" s="367" t="s">
        <v>2061</v>
      </c>
      <c r="F292" s="367" t="s">
        <v>2428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7" t="s">
        <v>1872</v>
      </c>
      <c r="R292" s="1" t="str">
        <f>T292</f>
        <v>Door Hinge</v>
      </c>
      <c r="S292" s="24" t="s">
        <v>2069</v>
      </c>
      <c r="T292" s="1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16</v>
      </c>
      <c r="W292" s="421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>
      <c r="A293" s="272" t="s">
        <v>2443</v>
      </c>
      <c r="C293" s="367" t="s">
        <v>2061</v>
      </c>
      <c r="F293" s="367" t="s">
        <v>2429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7" t="s">
        <v>336</v>
      </c>
      <c r="R293" s="1" t="str">
        <f t="shared" ref="R293:R297" si="16">T293</f>
        <v>Tubular Lock</v>
      </c>
      <c r="S293" s="24" t="s">
        <v>2070</v>
      </c>
      <c r="T293" s="1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421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>
      <c r="A294" s="272" t="s">
        <v>2443</v>
      </c>
      <c r="C294" s="367" t="s">
        <v>2061</v>
      </c>
      <c r="F294" s="367" t="s">
        <v>2430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7" t="s">
        <v>303</v>
      </c>
      <c r="R294" s="1" t="str">
        <f t="shared" si="16"/>
        <v>Door Closer</v>
      </c>
      <c r="S294" s="24" t="s">
        <v>2071</v>
      </c>
      <c r="T294" s="1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4</v>
      </c>
      <c r="W294" s="421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>
      <c r="A295" s="272" t="s">
        <v>2443</v>
      </c>
      <c r="C295" s="367" t="s">
        <v>2061</v>
      </c>
      <c r="F295" s="367" t="s">
        <v>2431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7" t="s">
        <v>2075</v>
      </c>
      <c r="R295" s="1" t="str">
        <f t="shared" si="16"/>
        <v>3/8" Metal Stud c/w Bolt &amp; Nut</v>
      </c>
      <c r="S295" s="24" t="s">
        <v>2072</v>
      </c>
      <c r="T295" s="1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16</v>
      </c>
      <c r="W295" s="421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>
      <c r="A296" s="272" t="s">
        <v>2443</v>
      </c>
      <c r="C296" s="367" t="s">
        <v>2061</v>
      </c>
      <c r="F296" s="367" t="s">
        <v>2456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7" t="s">
        <v>299</v>
      </c>
      <c r="R296" s="1" t="str">
        <f t="shared" si="16"/>
        <v>Flush Bolt</v>
      </c>
      <c r="S296" s="24" t="s">
        <v>2073</v>
      </c>
      <c r="T296" s="1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6</v>
      </c>
      <c r="W296" s="421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>
      <c r="A297" s="272" t="s">
        <v>2443</v>
      </c>
      <c r="C297" s="367" t="s">
        <v>2061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7" t="s">
        <v>300</v>
      </c>
      <c r="R297" s="1" t="str">
        <f t="shared" si="16"/>
        <v>Dust Socket</v>
      </c>
      <c r="S297" s="24" t="s">
        <v>2074</v>
      </c>
      <c r="T297" s="1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6</v>
      </c>
      <c r="W297" s="421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>
      <c r="A298" s="272" t="s">
        <v>2443</v>
      </c>
      <c r="C298" s="367" t="s">
        <v>2061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" t="str">
        <f t="shared" ref="R298" si="17">IF($S298="","",$T298)</f>
        <v>4" x 2 Black Tape</v>
      </c>
      <c r="S298" s="24" t="s">
        <v>1897</v>
      </c>
      <c r="T298" s="1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128</v>
      </c>
      <c r="W298" s="421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>
      <c r="A299" s="272" t="s">
        <v>2443</v>
      </c>
      <c r="C299" s="367" t="s">
        <v>2061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" t="s">
        <v>2068</v>
      </c>
      <c r="S299" s="24" t="s">
        <v>1905</v>
      </c>
      <c r="T299" s="1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421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>
      <c r="A300" s="272" t="s">
        <v>2443</v>
      </c>
      <c r="C300" s="367" t="s">
        <v>2061</v>
      </c>
      <c r="F300" s="395"/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" t="s">
        <v>2067</v>
      </c>
      <c r="S300" s="24">
        <v>6154</v>
      </c>
      <c r="T300" s="1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128</v>
      </c>
      <c r="W300" s="421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>
      <c r="A301" s="272" t="s">
        <v>2443</v>
      </c>
      <c r="B301" s="408" t="s">
        <v>1840</v>
      </c>
      <c r="C301" s="408" t="s">
        <v>14</v>
      </c>
      <c r="D301" s="408" t="s">
        <v>1791</v>
      </c>
      <c r="E301" s="408"/>
      <c r="F301" s="408"/>
      <c r="G301" s="408"/>
      <c r="H301" s="408" t="str">
        <f t="shared" ref="H301:L301" si="18">IFERROR(IF(D1=0,"",D1),"")</f>
        <v/>
      </c>
      <c r="I301" s="408" t="str">
        <f t="shared" si="18"/>
        <v/>
      </c>
      <c r="J301" s="408" t="str">
        <f t="shared" si="18"/>
        <v/>
      </c>
      <c r="K301" s="408" t="str">
        <f t="shared" si="18"/>
        <v/>
      </c>
      <c r="L301" s="408"/>
      <c r="M301" s="415">
        <v>0.62962300000000004</v>
      </c>
      <c r="N301" s="404">
        <v>914.4</v>
      </c>
      <c r="O301" s="408"/>
      <c r="P301" s="404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4" t="str" cm="1">
        <f t="array" ref="Q301">_xlfn.LET(_xlpm.cd,INDEX($S:$S,ROW()),IF(_xlpm.cd="","",IFERROR(_xlfn.XLOOKUP(_xlpm.cd,CostData!$C$22:$C$1000,CostData!$B$22:$B$1000,""),"")))</f>
        <v>Aluminium</v>
      </c>
      <c r="R301" s="404" t="str">
        <f>T301</f>
        <v>Swing Door Frame</v>
      </c>
      <c r="S301" s="410" t="s">
        <v>2076</v>
      </c>
      <c r="T301" s="404" t="str" cm="1">
        <f t="array" ref="T301">_xlfn.LET(_xlpm.cd,INDEX($S:$S,ROW()),IF(_xlpm.cd="","",IFERROR(_xlfn.XLOOKUP(_xlpm.cd,CostData!$C$22:$C$1000,CostData!$E$22:$E$1000,""),"")))</f>
        <v>Swing Door Frame</v>
      </c>
      <c r="U301" s="404" t="s">
        <v>103</v>
      </c>
      <c r="V301" s="404">
        <f>IF(OR(Enginuity!B7="",Enginuity!B6=""),"",Enginuity!B7*2+Enginuity!B6)</f>
        <v>24</v>
      </c>
      <c r="W301" s="423" t="str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2" spans="1:23">
      <c r="A302" s="272" t="s">
        <v>2443</v>
      </c>
      <c r="B302" s="367" t="s">
        <v>1842</v>
      </c>
      <c r="C302" s="367" t="s">
        <v>14</v>
      </c>
      <c r="D302" s="367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2" s="421"/>
    </row>
    <row r="303" spans="1:23">
      <c r="A303" s="272" t="s">
        <v>2443</v>
      </c>
      <c r="B303" s="367" t="s">
        <v>382</v>
      </c>
      <c r="C303" s="367" t="s">
        <v>14</v>
      </c>
      <c r="D303" s="367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3" s="421"/>
    </row>
    <row r="304" spans="1:23">
      <c r="A304" s="272" t="s">
        <v>2443</v>
      </c>
      <c r="B304" s="367" t="s">
        <v>1841</v>
      </c>
      <c r="C304" s="367" t="s">
        <v>14</v>
      </c>
      <c r="D304" s="367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4" s="421"/>
    </row>
    <row r="305" spans="1:23">
      <c r="A305" s="272" t="s">
        <v>2443</v>
      </c>
      <c r="C305" s="367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5" s="421"/>
    </row>
    <row r="306" spans="1:23">
      <c r="A306" s="272" t="s">
        <v>2443</v>
      </c>
      <c r="C306" s="367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6" s="421"/>
    </row>
    <row r="307" spans="1:23">
      <c r="A307" s="272" t="s">
        <v>2443</v>
      </c>
      <c r="C307" s="367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7" s="421"/>
    </row>
    <row r="308" spans="1:23">
      <c r="A308" s="272" t="s">
        <v>2443</v>
      </c>
      <c r="C308" s="367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8" s="421"/>
    </row>
    <row r="309" spans="1:23">
      <c r="A309" s="272" t="s">
        <v>2443</v>
      </c>
      <c r="C309" s="367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09" s="421"/>
    </row>
    <row r="310" spans="1:23">
      <c r="A310" s="272" t="s">
        <v>2443</v>
      </c>
      <c r="C310" s="367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0" s="421"/>
    </row>
    <row r="311" spans="1:23">
      <c r="A311" s="272" t="s">
        <v>2443</v>
      </c>
      <c r="C311" s="367" t="s">
        <v>14</v>
      </c>
      <c r="G311" s="367" t="str">
        <f t="shared" ref="G311" si="19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1" s="421"/>
    </row>
    <row r="312" spans="1:23">
      <c r="A312" s="272" t="s">
        <v>2443</v>
      </c>
      <c r="C312" s="367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421"/>
    </row>
    <row r="313" spans="1:23">
      <c r="A313" s="272" t="s">
        <v>2443</v>
      </c>
      <c r="C313" s="367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421"/>
    </row>
    <row r="314" spans="1:23">
      <c r="A314" s="272" t="s">
        <v>2443</v>
      </c>
      <c r="C314" s="367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421"/>
    </row>
    <row r="315" spans="1:23">
      <c r="A315" s="272" t="s">
        <v>2443</v>
      </c>
      <c r="C315" s="367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421"/>
    </row>
    <row r="316" spans="1:23">
      <c r="A316" s="272" t="s">
        <v>2443</v>
      </c>
      <c r="C316" s="367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421"/>
    </row>
    <row r="317" spans="1:23">
      <c r="A317" s="272" t="s">
        <v>2443</v>
      </c>
      <c r="C317" s="367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421"/>
    </row>
    <row r="318" spans="1:23">
      <c r="A318" s="272" t="s">
        <v>2443</v>
      </c>
      <c r="C318" s="367" t="s">
        <v>14</v>
      </c>
      <c r="W318" s="421"/>
    </row>
    <row r="319" spans="1:23">
      <c r="A319" s="272" t="s">
        <v>2443</v>
      </c>
      <c r="C319" s="367" t="s">
        <v>14</v>
      </c>
      <c r="W319" s="421"/>
    </row>
    <row r="320" spans="1:23">
      <c r="A320" s="272" t="s">
        <v>2443</v>
      </c>
      <c r="C320" s="367" t="s">
        <v>14</v>
      </c>
      <c r="W320" s="421"/>
    </row>
    <row r="321" spans="1:23">
      <c r="A321" s="272" t="s">
        <v>2443</v>
      </c>
      <c r="C321" s="367" t="s">
        <v>14</v>
      </c>
      <c r="W321" s="421"/>
    </row>
    <row r="322" spans="1:23">
      <c r="A322" s="272" t="s">
        <v>2443</v>
      </c>
      <c r="C322" s="367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7"/>
      <c r="W322" s="421"/>
    </row>
    <row r="323" spans="1:23">
      <c r="A323" s="272" t="s">
        <v>2443</v>
      </c>
      <c r="C323" s="367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7"/>
      <c r="W323" s="421"/>
    </row>
    <row r="324" spans="1:23">
      <c r="A324" s="272" t="s">
        <v>2443</v>
      </c>
      <c r="C324" s="367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7"/>
      <c r="V324" s="2"/>
      <c r="W324" s="421"/>
    </row>
    <row r="325" spans="1:23">
      <c r="A325" s="272" t="s">
        <v>2443</v>
      </c>
      <c r="C325" s="367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7"/>
      <c r="W325" s="421"/>
    </row>
    <row r="326" spans="1:23">
      <c r="A326" s="272" t="s">
        <v>2443</v>
      </c>
      <c r="C326" s="367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7"/>
      <c r="W326" s="421"/>
    </row>
    <row r="327" spans="1:23">
      <c r="A327" s="272" t="s">
        <v>2443</v>
      </c>
      <c r="C327" s="367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421"/>
    </row>
    <row r="328" spans="1:23">
      <c r="A328" s="272" t="s">
        <v>2443</v>
      </c>
      <c r="C328" s="367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" t="str">
        <f>IF($S328="","",$T328)</f>
        <v>VT210 Neutral Sealant Clear/WH/Grey 300ML</v>
      </c>
      <c r="S328" s="24" t="s">
        <v>1974</v>
      </c>
      <c r="T328" s="1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586</v>
      </c>
      <c r="W328" s="421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>
      <c r="A329" s="272" t="s">
        <v>2443</v>
      </c>
      <c r="C329" s="367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" t="str">
        <f>IF($S329="","",$T329)</f>
        <v>4" x 2 Black Tape</v>
      </c>
      <c r="S329" s="24" t="s">
        <v>1897</v>
      </c>
      <c r="T329" s="1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24</v>
      </c>
      <c r="W329" s="421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>
      <c r="A330" s="272" t="s">
        <v>2443</v>
      </c>
      <c r="B330" s="395"/>
      <c r="C330" s="395" t="s">
        <v>14</v>
      </c>
      <c r="D330" s="395"/>
      <c r="E330" s="395"/>
      <c r="F330" s="395"/>
      <c r="G330" s="395"/>
      <c r="H330" s="395"/>
      <c r="I330" s="395"/>
      <c r="J330" s="395"/>
      <c r="K330" s="395"/>
      <c r="L330" s="395"/>
      <c r="M330" s="395"/>
      <c r="N330" s="395"/>
      <c r="O330" s="395"/>
      <c r="P330" s="396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396" t="str">
        <f>IF($S330="","",IFERROR(_xlfn.XLOOKUP($S330,CostData!$U$22:$U$1000,CostData!$T$22:$T$1000,""),""))</f>
        <v>Gasket</v>
      </c>
      <c r="R330" s="396" t="s">
        <v>2068</v>
      </c>
      <c r="S330" s="411" t="s">
        <v>1905</v>
      </c>
      <c r="T330" s="396" t="str" cm="1">
        <f t="array" ref="T330">_xlfn.LET(_xlpm.cd,INDEX($S:$S,ROW()),IF(_xlpm.cd="","",IFERROR(_xlfn.XLOOKUP(_xlpm.cd,CostData!$U$22:$U$1000,CostData!$W$22:$W$1000,""),"")))</f>
        <v>F18 Gasket</v>
      </c>
      <c r="U330" s="396" t="str" cm="1">
        <f t="array" ref="U330">_xlfn.LET(_xlpm.s,INDEX($S:$S,ROW()),IF(_xlpm.s="","",IFERROR(_xlfn.XLOOKUP(_xlpm.s,CostData!$U$22:$U$1000,CostData!$AA$22:$AA$1000,""),"")))</f>
        <v>Ft</v>
      </c>
      <c r="V330" s="396">
        <f>IFERROR(IF(OR(Enginuity!B7="",Enginuity!B6=""),"",Enginuity!B7*2+Enginuity!B6),"")</f>
        <v>24</v>
      </c>
      <c r="W330" s="42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>
      <c r="A331" s="272" t="s">
        <v>2443</v>
      </c>
      <c r="B331" s="367" t="s">
        <v>1840</v>
      </c>
      <c r="C331" s="367" t="s">
        <v>1929</v>
      </c>
      <c r="D331" s="367" t="s">
        <v>1791</v>
      </c>
      <c r="E331" s="367" t="str" cm="1">
        <f t="array" ref="E331:E340">IFERROR(INDEX(_xlfn._xlws.FILTER(CostData!$P$3:$P$12,CostData!$P$3:$P$12&lt;&gt;""),_xlfn.SEQUENCE(10)),"")</f>
        <v>Default</v>
      </c>
      <c r="F331" s="408" t="str">
        <f>"▼ [Product Subtype]"</f>
        <v>▼ [Product Subtype]</v>
      </c>
      <c r="G331" s="367" t="str">
        <f>"▼ [Fix - Casement]"</f>
        <v>▼ [Fix - Casement]</v>
      </c>
      <c r="M331" s="413">
        <v>0.54644999999999999</v>
      </c>
      <c r="N331" s="408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" t="s">
        <v>1811</v>
      </c>
      <c r="S331" s="24" t="s">
        <v>1919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W331" s="421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>
      <c r="A332" s="272" t="s">
        <v>2443</v>
      </c>
      <c r="B332" s="367" t="s">
        <v>1842</v>
      </c>
      <c r="C332" s="367" t="s">
        <v>1929</v>
      </c>
      <c r="D332" s="367" t="s">
        <v>1813</v>
      </c>
      <c r="E332" s="367" t="str">
        <v>Black Aluminium Mesh 1.6mm</v>
      </c>
      <c r="G332" s="367" t="s">
        <v>1931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" t="s">
        <v>1843</v>
      </c>
      <c r="S332" s="24" t="s">
        <v>1920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32" s="421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>
      <c r="A333" s="272" t="s">
        <v>2443</v>
      </c>
      <c r="B333" s="367" t="s">
        <v>382</v>
      </c>
      <c r="C333" s="367" t="s">
        <v>1929</v>
      </c>
      <c r="D333" s="367" t="s">
        <v>1792</v>
      </c>
      <c r="E333" s="367" t="str">
        <v>Black Aluminium Mesh 1.8mm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" t="s">
        <v>1857</v>
      </c>
      <c r="S333" s="24" t="s">
        <v>1921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24</v>
      </c>
      <c r="W333" s="421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>
      <c r="A334" s="272" t="s">
        <v>2443</v>
      </c>
      <c r="B334" s="367" t="s">
        <v>1841</v>
      </c>
      <c r="C334" s="367" t="s">
        <v>1929</v>
      </c>
      <c r="D334" s="367" t="s">
        <v>1814</v>
      </c>
      <c r="E334" s="367" t="str">
        <v>Black Stainless Steel Mesh 1.0mm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" t="s">
        <v>1856</v>
      </c>
      <c r="S334" s="24" t="s">
        <v>1921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421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>
      <c r="A335" s="272" t="s">
        <v>2443</v>
      </c>
      <c r="C335" s="367" t="s">
        <v>1929</v>
      </c>
      <c r="E335" s="367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421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>
      <c r="A336" s="272" t="s">
        <v>2443</v>
      </c>
      <c r="C336" s="367" t="s">
        <v>1929</v>
      </c>
      <c r="E336" s="367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421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>
      <c r="A337" s="272" t="s">
        <v>2443</v>
      </c>
      <c r="C337" s="367" t="s">
        <v>1929</v>
      </c>
      <c r="E337" s="367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" t="s">
        <v>114</v>
      </c>
      <c r="S337" s="24" t="s">
        <v>1922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1930</v>
      </c>
      <c r="V337" s="1" t="str">
        <f>IF(TRIM(Enginuity!$A$22)="","",IF(AND(Enginuity!$B$6&gt;0,Enginuity!$B$7&gt;0,Enginuity!$B$13&gt;0),(2*Enginuity!$B$7*Enginuity!$B$13)+(2*Enginuity!$B$6),""))</f>
        <v/>
      </c>
      <c r="W337" s="421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2.04</v>
      </c>
    </row>
    <row r="338" spans="1:23">
      <c r="A338" s="272" t="s">
        <v>2443</v>
      </c>
      <c r="C338" s="367" t="s">
        <v>1929</v>
      </c>
      <c r="E338" s="367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421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>
      <c r="A339" s="272" t="s">
        <v>2443</v>
      </c>
      <c r="C339" s="367" t="s">
        <v>1929</v>
      </c>
      <c r="E339" s="367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421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>
      <c r="A340" s="272" t="s">
        <v>2443</v>
      </c>
      <c r="C340" s="367" t="s">
        <v>1929</v>
      </c>
      <c r="E340" s="367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421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>
      <c r="A341" s="272" t="s">
        <v>2443</v>
      </c>
      <c r="C341" s="367" t="s">
        <v>1929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421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>
      <c r="A342" s="272" t="s">
        <v>2443</v>
      </c>
      <c r="C342" s="367" t="s">
        <v>1929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421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>
      <c r="A343" s="272" t="s">
        <v>2443</v>
      </c>
      <c r="C343" s="367" t="s">
        <v>1929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421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>
      <c r="A344" s="272" t="s">
        <v>2443</v>
      </c>
      <c r="C344" s="367" t="s">
        <v>1929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421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>
      <c r="A345" s="272" t="s">
        <v>2443</v>
      </c>
      <c r="C345" s="367" t="s">
        <v>1929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421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>
      <c r="A346" s="272" t="s">
        <v>2443</v>
      </c>
      <c r="C346" s="367" t="s">
        <v>1929</v>
      </c>
      <c r="F346" s="367" t="str">
        <f>"▼ [Insert]"</f>
        <v>▼ [Insert]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>
        <f>"Insert"</f>
        <v>Insert</v>
      </c>
      <c r="R346" s="9" t="str">
        <f>S346</f>
        <v>Breezway 102mm Glass Infill</v>
      </c>
      <c r="S346" s="417" t="str">
        <f>Enginuity!$A$21</f>
        <v>Breezway 102mm Glass Infill</v>
      </c>
      <c r="T346" s="9" t="str">
        <f>S346</f>
        <v>Breezway 102mm Glass Infill</v>
      </c>
      <c r="U346" s="1" t="s">
        <v>176</v>
      </c>
      <c r="V346" s="1" cm="1">
        <f t="array" ref="V346">_xlfn.LET(_xlpm.vSel,TRIM(SUBSTITUTE(Enginuity!$A$21,CHAR(160)," ")),_xlpm.vCode,TRIM(SUBSTITUTE(INDEX(S:S,ROW()),CHAR(160)," ")),IF(AND(_xlpm.vSel&lt;&gt;"",_xlpm.vCode&lt;&gt;"",_xlpm.vSel=_xlpm.vCode),1,""))</f>
        <v>1</v>
      </c>
      <c r="W346" s="421" cm="1">
        <f t="array" ref="W346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347" spans="1:23">
      <c r="A347" s="272" t="s">
        <v>2443</v>
      </c>
      <c r="C347" s="367" t="s">
        <v>1929</v>
      </c>
      <c r="F347" s="367" t="s">
        <v>2079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tr" cm="1">
        <f t="array" ref="Q34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347" s="1" t="str">
        <f>IF($T347="","","⬒ "&amp;$T347)</f>
        <v>⬒ Default</v>
      </c>
      <c r="S347" s="24" t="s">
        <v>1828</v>
      </c>
      <c r="T347" s="1" t="str" cm="1">
        <f t="array" ref="T34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347" s="1" t="str" cm="1">
        <f t="array" ref="U34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347" s="1" t="str">
        <f>IF(LEFT(UPPER(TRIM(SUBSTITUTE(Enginuity!$A$21,CHAR(160)," "))),8)="BREEZWAY","",IF(Enginuity!$B$9="","",Enginuity!$B$9))</f>
        <v/>
      </c>
      <c r="W347" s="421" cm="1">
        <f t="array" ref="W34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348" spans="1:23">
      <c r="A348" s="272" t="s">
        <v>2443</v>
      </c>
      <c r="C348" s="367" t="s">
        <v>1929</v>
      </c>
      <c r="F348" s="367" t="s">
        <v>2080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421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>
      <c r="A349" s="272" t="s">
        <v>2443</v>
      </c>
      <c r="C349" s="367" t="s">
        <v>1929</v>
      </c>
      <c r="F349" s="367" t="s">
        <v>2081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421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>
      <c r="A350" s="272" t="s">
        <v>2443</v>
      </c>
      <c r="C350" s="367" t="s">
        <v>1929</v>
      </c>
      <c r="F350" s="367" t="s">
        <v>2426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421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>
      <c r="A351" s="272" t="s">
        <v>2443</v>
      </c>
      <c r="C351" s="367" t="s">
        <v>1929</v>
      </c>
      <c r="F351" s="367" t="s">
        <v>2427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421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>
      <c r="A352" s="272" t="s">
        <v>2443</v>
      </c>
      <c r="C352" s="367" t="s">
        <v>1929</v>
      </c>
      <c r="F352" s="367" t="s">
        <v>2428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421"/>
    </row>
    <row r="353" spans="1:23">
      <c r="A353" s="272" t="s">
        <v>2443</v>
      </c>
      <c r="C353" s="367" t="s">
        <v>1929</v>
      </c>
      <c r="F353" s="367" t="s">
        <v>2429</v>
      </c>
      <c r="W353" s="421"/>
    </row>
    <row r="354" spans="1:23">
      <c r="A354" s="272" t="s">
        <v>2443</v>
      </c>
      <c r="C354" s="367" t="s">
        <v>1929</v>
      </c>
      <c r="F354" s="367" t="s">
        <v>2430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" t="str">
        <f>IF($S354="","",$T354)</f>
        <v>Hung Friction Stay</v>
      </c>
      <c r="S354" s="24" t="s">
        <v>1874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4</v>
      </c>
      <c r="W354" s="421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>
      <c r="A355" s="272" t="s">
        <v>2443</v>
      </c>
      <c r="C355" s="367" t="s">
        <v>1929</v>
      </c>
      <c r="F355" s="367" t="s">
        <v>2431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4</v>
      </c>
      <c r="W355" s="421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>
      <c r="A356" s="272" t="s">
        <v>2443</v>
      </c>
      <c r="C356" s="367" t="s">
        <v>1929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" t="str">
        <f>IF($S356="","",$T356)</f>
        <v>2.5" x 2 Black Tape</v>
      </c>
      <c r="S356" s="24" t="s">
        <v>1891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88</v>
      </c>
      <c r="W356" s="421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>
      <c r="A357" s="272" t="s">
        <v>2443</v>
      </c>
      <c r="C357" s="367" t="s">
        <v>1929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" t="s">
        <v>1924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64</v>
      </c>
      <c r="W357" s="421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>
      <c r="A358" s="272" t="s">
        <v>2443</v>
      </c>
      <c r="C358" s="367" t="s">
        <v>1929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" t="s">
        <v>1925</v>
      </c>
      <c r="S358" s="24" t="s">
        <v>1909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str">
        <f>IF($V$392="","",$V$392)</f>
        <v/>
      </c>
      <c r="W358" s="421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>
      <c r="A359" s="272" t="s">
        <v>2443</v>
      </c>
      <c r="C359" s="367" t="s">
        <v>1929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" t="s">
        <v>1923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str">
        <f>IF($V$392="","",$V$392)</f>
        <v/>
      </c>
      <c r="W359" s="421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>
      <c r="A360" s="272" t="s">
        <v>2443</v>
      </c>
      <c r="C360" s="367" t="s">
        <v>1929</v>
      </c>
      <c r="F360" s="395"/>
      <c r="Q360" s="1" t="str">
        <f>IF($S360="","",IFERROR(_xlfn.XLOOKUP($S360,CostData!$U$22:$U$1000,CostData!$T$22:$T$1000,""),""))</f>
        <v>Gasket</v>
      </c>
      <c r="R360" s="1" t="s">
        <v>1926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48</v>
      </c>
      <c r="W360" s="421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>
      <c r="A361" s="272" t="s">
        <v>2444</v>
      </c>
      <c r="B361" s="408" t="s">
        <v>1840</v>
      </c>
      <c r="C361" s="408" t="s">
        <v>2108</v>
      </c>
      <c r="D361" s="408" t="s">
        <v>1791</v>
      </c>
      <c r="E361" s="408" t="str" cm="1">
        <f t="array" ref="E361:E370">IFERROR(INDEX(_xlfn._xlws.FILTER(CostData!$P$3:$P$12,CostData!$P$3:$P$12&lt;&gt;""),_xlfn.SEQUENCE(10)),"")</f>
        <v>Default</v>
      </c>
      <c r="F361" s="408" t="str">
        <f>"▼ [Product Subtype]"</f>
        <v>▼ [Product Subtype]</v>
      </c>
      <c r="G361" s="408" t="str">
        <f t="shared" ref="G361" si="20">IFERROR(IF(C61=0,"",C61),"")</f>
        <v>Casement Window Standard</v>
      </c>
      <c r="H361" s="408" t="str">
        <f t="shared" ref="H361" si="21">IFERROR(IF(D61=0,"",D61),"")</f>
        <v>N/A</v>
      </c>
      <c r="I361" s="408" t="str">
        <f t="shared" ref="I361" si="22">IFERROR(IF(E61=0,"",E61),"")</f>
        <v>Default</v>
      </c>
      <c r="J361" s="408" t="str">
        <f t="shared" ref="J361" si="23">IFERROR(IF(F61=0,"",F61),"")</f>
        <v/>
      </c>
      <c r="K361" s="408" t="str">
        <f t="shared" ref="K361" si="24">IFERROR(IF(G61=0,"",G61),"")</f>
        <v>▼ [Fix - Casement]</v>
      </c>
      <c r="L361" s="408" t="str">
        <f t="shared" ref="L361" si="25">IFERROR(IF(H61=0,"",H61),"")</f>
        <v>▼ [Hung Window - Casement]</v>
      </c>
      <c r="M361" s="415">
        <v>0.5212</v>
      </c>
      <c r="N361" s="404">
        <v>762</v>
      </c>
      <c r="O361" s="408"/>
      <c r="P361" s="404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4" t="str" cm="1">
        <f t="array" ref="Q361">_xlfn.LET(_xlpm.cd,INDEX($S:$S,ROW()),IF(_xlpm.cd="","",IFERROR(_xlfn.XLOOKUP(_xlpm.cd,CostData!$C$22:$C$1000,CostData!$B$22:$B$1000,""),"")))</f>
        <v>Aluminium</v>
      </c>
      <c r="R361" s="404" t="str">
        <f>T361</f>
        <v>Swing Door Frame</v>
      </c>
      <c r="S361" s="410" t="s">
        <v>2076</v>
      </c>
      <c r="T361" s="404" t="str" cm="1">
        <f t="array" ref="T361">_xlfn.LET(_xlpm.cd,INDEX($S:$S,ROW()),IF(_xlpm.cd="","",IFERROR(_xlfn.XLOOKUP(_xlpm.cd,CostData!$C$22:$C$1000,CostData!$E$22:$E$1000,""),"")))</f>
        <v>Swing Door Frame</v>
      </c>
      <c r="U361" s="404" t="s">
        <v>103</v>
      </c>
      <c r="V361" s="404" t="str">
        <f>IF(OR(Enginuity!B67="",Enginuity!B66=""),"",Enginuity!B67*2+Enginuity!B66)</f>
        <v/>
      </c>
      <c r="W361" s="423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6.76</v>
      </c>
    </row>
    <row r="362" spans="1:23">
      <c r="A362" s="272" t="s">
        <v>2444</v>
      </c>
      <c r="B362" s="367" t="s">
        <v>1842</v>
      </c>
      <c r="C362" s="367" t="s">
        <v>2108</v>
      </c>
      <c r="D362" s="367" t="s">
        <v>1813</v>
      </c>
      <c r="E362" s="367" t="str">
        <v>Black Aluminium Mesh 1.6mm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2" s="1" t="str" cm="1">
        <f t="array" ref="Q362">_xlfn.LET(_xlpm.cd,INDEX($S:$S,ROW()),IF(_xlpm.cd="","",IFERROR(_xlfn.XLOOKUP(_xlpm.cd,CostData!$C$22:$C$1000,CostData!$B$22:$B$1000,""),"")))</f>
        <v>Aluminium</v>
      </c>
      <c r="R362" s="1" t="str">
        <f t="shared" ref="R362:R363" si="26">T362</f>
        <v>Swing Door 4" Profile</v>
      </c>
      <c r="S362" s="24" t="s">
        <v>2062</v>
      </c>
      <c r="T362" s="1" t="str" cm="1">
        <f t="array" ref="T362">_xlfn.LET(_xlpm.cd,INDEX($S:$S,ROW()),IF(_xlpm.cd="","",IFERROR(_xlfn.XLOOKUP(_xlpm.cd,CostData!$C$22:$C$1000,CostData!$E$22:$E$1000,""),"")))</f>
        <v>Swing Door 4" Profile</v>
      </c>
      <c r="W362" s="421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>
      <c r="A363" s="272" t="s">
        <v>2444</v>
      </c>
      <c r="B363" s="367" t="s">
        <v>382</v>
      </c>
      <c r="C363" s="367" t="s">
        <v>2108</v>
      </c>
      <c r="D363" s="367" t="s">
        <v>1792</v>
      </c>
      <c r="E363" s="367" t="str">
        <v>Black Aluminium Mesh 1.8mm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3" s="1" t="str" cm="1">
        <f t="array" ref="Q363">_xlfn.LET(_xlpm.cd,INDEX($S:$S,ROW()),IF(_xlpm.cd="","",IFERROR(_xlfn.XLOOKUP(_xlpm.cd,CostData!$C$22:$C$1000,CostData!$B$22:$B$1000,""),"")))</f>
        <v>Aluminium</v>
      </c>
      <c r="R363" s="1" t="str">
        <f t="shared" si="26"/>
        <v>Swing Door Centre Clip</v>
      </c>
      <c r="S363" s="24" t="s">
        <v>2065</v>
      </c>
      <c r="T363" s="1" t="str" cm="1">
        <f t="array" ref="T363">_xlfn.LET(_xlpm.cd,INDEX($S:$S,ROW()),IF(_xlpm.cd="","",IFERROR(_xlfn.XLOOKUP(_xlpm.cd,CostData!$C$22:$C$1000,CostData!$E$22:$E$1000,""),"")))</f>
        <v>Swing Door Centre Clip</v>
      </c>
      <c r="W363" s="421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>
      <c r="A364" s="272" t="s">
        <v>2444</v>
      </c>
      <c r="B364" s="367" t="s">
        <v>1841</v>
      </c>
      <c r="C364" s="367" t="s">
        <v>2108</v>
      </c>
      <c r="D364" s="367" t="s">
        <v>1814</v>
      </c>
      <c r="E364" s="367" t="str">
        <v>Black Stainless Steel Mesh 1.0mm</v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T364" s="1" t="str" cm="1">
        <f t="array" ref="T364">_xlfn.LET(_xlpm.cd,INDEX($S:$S,ROW()),IF(_xlpm.cd="","",IFERROR(_xlfn.XLOOKUP(_xlpm.cd,CostData!$C$22:$C$1000,CostData!$E$22:$E$1000,""),"")))</f>
        <v/>
      </c>
      <c r="W364" s="421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>
      <c r="A365" s="272" t="s">
        <v>2444</v>
      </c>
      <c r="C365" s="367" t="s">
        <v>2108</v>
      </c>
      <c r="E365" s="367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" t="str">
        <f t="shared" ref="R365:R371" si="27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421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>
      <c r="A366" s="272" t="s">
        <v>2444</v>
      </c>
      <c r="C366" s="367" t="s">
        <v>2108</v>
      </c>
      <c r="E366" s="367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" t="str">
        <f t="shared" si="27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421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>
      <c r="A367" s="272" t="s">
        <v>2444</v>
      </c>
      <c r="C367" s="367" t="s">
        <v>2108</v>
      </c>
      <c r="E367" s="367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" t="str">
        <f t="shared" si="27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421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>
      <c r="A368" s="272" t="s">
        <v>2444</v>
      </c>
      <c r="C368" s="367" t="s">
        <v>2108</v>
      </c>
      <c r="E368" s="367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" t="str">
        <f t="shared" si="27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421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>
      <c r="A369" s="272" t="s">
        <v>2444</v>
      </c>
      <c r="C369" s="367" t="s">
        <v>2108</v>
      </c>
      <c r="E369" s="367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" t="str">
        <f t="shared" si="27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421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>
      <c r="A370" s="272" t="s">
        <v>2444</v>
      </c>
      <c r="C370" s="367" t="s">
        <v>2108</v>
      </c>
      <c r="E370" s="367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" t="str">
        <f t="shared" si="27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421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>
      <c r="A371" s="272" t="s">
        <v>2444</v>
      </c>
      <c r="C371" s="367" t="s">
        <v>2108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" t="str">
        <f t="shared" si="27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421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>
      <c r="A372" s="272" t="s">
        <v>2444</v>
      </c>
      <c r="C372" s="367" t="s">
        <v>2108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2" s="1" t="str" cm="1">
        <f t="array" ref="Q372">_xlfn.LET(_xlpm.cd,INDEX($S:$S,ROW()),IF(_xlpm.cd="","",IFERROR(_xlfn.XLOOKUP(_xlpm.cd,CostData!$C$22:$C$1000,CostData!$B$22:$B$1000,""),"")))</f>
        <v/>
      </c>
      <c r="W372" s="421"/>
    </row>
    <row r="373" spans="1:23">
      <c r="A373" s="272" t="s">
        <v>2444</v>
      </c>
      <c r="C373" s="367" t="s">
        <v>2108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3" s="1" t="str" cm="1">
        <f t="array" ref="Q373">_xlfn.LET(_xlpm.cd,INDEX($S:$S,ROW()),IF(_xlpm.cd="","",IFERROR(_xlfn.XLOOKUP(_xlpm.cd,CostData!$C$22:$C$1000,CostData!$B$22:$B$1000,""),"")))</f>
        <v/>
      </c>
      <c r="W373" s="421"/>
    </row>
    <row r="374" spans="1:23">
      <c r="A374" s="272" t="s">
        <v>2444</v>
      </c>
      <c r="C374" s="367" t="s">
        <v>2108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4" s="1" t="str" cm="1">
        <f t="array" ref="Q374">_xlfn.LET(_xlpm.cd,INDEX($S:$S,ROW()),IF(_xlpm.cd="","",IFERROR(_xlfn.XLOOKUP(_xlpm.cd,CostData!$C$22:$C$1000,CostData!$B$22:$B$1000,""),"")))</f>
        <v/>
      </c>
      <c r="W374" s="421"/>
    </row>
    <row r="375" spans="1:23">
      <c r="A375" s="272" t="s">
        <v>2444</v>
      </c>
      <c r="C375" s="367" t="s">
        <v>2108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5" s="1" t="str" cm="1">
        <f t="array" ref="Q375">_xlfn.LET(_xlpm.cd,INDEX($S:$S,ROW()),IF(_xlpm.cd="","",IFERROR(_xlfn.XLOOKUP(_xlpm.cd,CostData!$C$22:$C$1000,CostData!$B$22:$B$1000,""),"")))</f>
        <v/>
      </c>
      <c r="W375" s="421"/>
    </row>
    <row r="376" spans="1:23">
      <c r="A376" s="272" t="s">
        <v>2444</v>
      </c>
      <c r="C376" s="367" t="s">
        <v>2108</v>
      </c>
      <c r="F376" s="367" t="str">
        <f>"▼ [Insert]"</f>
        <v>▼ [Insert]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6" s="1" t="str" cm="1">
        <f t="array" ref="Q376">_xlfn.LET(_xlpm.cd,INDEX($S:$S,ROW()),IF(_xlpm.cd="","",IFERROR(_xlfn.XLOOKUP(_xlpm.cd,CostData!$C$22:$C$1000,CostData!$B$22:$B$1000,""),"")))</f>
        <v/>
      </c>
      <c r="W376" s="421"/>
    </row>
    <row r="377" spans="1:23">
      <c r="A377" s="272" t="s">
        <v>2444</v>
      </c>
      <c r="C377" s="367" t="s">
        <v>2108</v>
      </c>
      <c r="F377" s="367" t="s">
        <v>2079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7" s="1" t="str" cm="1">
        <f t="array" ref="Q377">_xlfn.LET(_xlpm.cd,INDEX($S:$S,ROW()),IF(_xlpm.cd="","",IFERROR(_xlfn.XLOOKUP(_xlpm.cd,CostData!$C$22:$C$1000,CostData!$B$22:$B$1000,""),"")))</f>
        <v/>
      </c>
      <c r="W377" s="421">
        <f>IFERROR(INDEX(CostData!$Q$3:$Q$12,MATCH(TRIM(Enginuity!$A$20),CostData!$P$3:$P$12,0)),"")</f>
        <v>3.9</v>
      </c>
    </row>
    <row r="378" spans="1:23">
      <c r="A378" s="272" t="s">
        <v>2444</v>
      </c>
      <c r="C378" s="367" t="s">
        <v>2108</v>
      </c>
      <c r="F378" s="367" t="s">
        <v>2080</v>
      </c>
      <c r="P378" s="1" t="str" cm="1">
        <f t="array" ref="P3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8" s="1" t="str" cm="1">
        <f t="array" ref="Q378">_xlfn.LET(_xlpm.cd,INDEX($S:$S,ROW()),IF(_xlpm.cd="","",IFERROR(_xlfn.XLOOKUP(_xlpm.cd,CostData!$C$22:$C$1000,CostData!$B$22:$B$1000,""),"")))</f>
        <v/>
      </c>
      <c r="W378" s="421"/>
    </row>
    <row r="379" spans="1:23">
      <c r="A379" s="272" t="s">
        <v>2444</v>
      </c>
      <c r="C379" s="367" t="s">
        <v>2108</v>
      </c>
      <c r="F379" s="367" t="s">
        <v>2081</v>
      </c>
      <c r="Q379" s="1" t="str" cm="1">
        <f t="array" ref="Q379">_xlfn.LET(_xlpm.cd,INDEX($S:$S,ROW()),IF(_xlpm.cd="","",IFERROR(_xlfn.XLOOKUP(_xlpm.cd,CostData!$C$22:$C$1000,CostData!$B$22:$B$1000,""),"")))</f>
        <v/>
      </c>
      <c r="W379" s="421"/>
    </row>
    <row r="380" spans="1:23">
      <c r="A380" s="272" t="s">
        <v>2444</v>
      </c>
      <c r="C380" s="367" t="s">
        <v>2108</v>
      </c>
      <c r="F380" s="367" t="s">
        <v>2426</v>
      </c>
      <c r="W380" s="421"/>
    </row>
    <row r="381" spans="1:23">
      <c r="A381" s="272" t="s">
        <v>2444</v>
      </c>
      <c r="C381" s="367" t="s">
        <v>2108</v>
      </c>
      <c r="F381" s="367" t="s">
        <v>2427</v>
      </c>
      <c r="W381" s="421"/>
    </row>
    <row r="382" spans="1:23">
      <c r="A382" s="272" t="s">
        <v>2444</v>
      </c>
      <c r="C382" s="367" t="s">
        <v>2108</v>
      </c>
      <c r="F382" s="367" t="s">
        <v>2428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7"/>
      <c r="W382" s="421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>
      <c r="A383" s="272" t="s">
        <v>2444</v>
      </c>
      <c r="C383" s="367" t="s">
        <v>2108</v>
      </c>
      <c r="F383" s="367" t="s">
        <v>2429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7"/>
      <c r="W383" s="421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>
      <c r="A384" s="272" t="s">
        <v>2444</v>
      </c>
      <c r="C384" s="367" t="s">
        <v>2108</v>
      </c>
      <c r="F384" s="367" t="s">
        <v>2430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7"/>
      <c r="V384" s="2"/>
      <c r="W384" s="421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>
      <c r="A385" s="272" t="s">
        <v>2444</v>
      </c>
      <c r="C385" s="367" t="s">
        <v>2108</v>
      </c>
      <c r="F385" s="367" t="s">
        <v>2431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7"/>
      <c r="W385" s="421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>
      <c r="A386" s="272" t="s">
        <v>2444</v>
      </c>
      <c r="C386" s="367" t="s">
        <v>2108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7"/>
      <c r="W386" s="421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>
      <c r="A387" s="272" t="s">
        <v>2444</v>
      </c>
      <c r="C387" s="367" t="s">
        <v>2108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421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>
      <c r="A388" s="272" t="s">
        <v>2444</v>
      </c>
      <c r="C388" s="367" t="s">
        <v>2108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" t="str">
        <f>IF($S388="","",$T388)</f>
        <v>VT210 Neutral Sealant Clear/WH/Grey 300ML</v>
      </c>
      <c r="S388" s="24" t="s">
        <v>1974</v>
      </c>
      <c r="T388" s="1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421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>
      <c r="A389" s="272" t="s">
        <v>2444</v>
      </c>
      <c r="C389" s="367" t="s">
        <v>2108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" t="str">
        <f>IF($S389="","",$T389)</f>
        <v>4" x 2 Black Tape</v>
      </c>
      <c r="S389" s="24" t="s">
        <v>1897</v>
      </c>
      <c r="T389" s="1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421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>
      <c r="A390" s="272" t="s">
        <v>2444</v>
      </c>
      <c r="B390" s="395"/>
      <c r="C390" s="395" t="s">
        <v>2108</v>
      </c>
      <c r="D390" s="395"/>
      <c r="E390" s="395"/>
      <c r="F390" s="395"/>
      <c r="G390" s="395"/>
      <c r="H390" s="395"/>
      <c r="I390" s="395"/>
      <c r="J390" s="395"/>
      <c r="K390" s="395"/>
      <c r="L390" s="395"/>
      <c r="M390" s="395"/>
      <c r="N390" s="395"/>
      <c r="O390" s="395"/>
      <c r="P390" s="396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396" t="str">
        <f>IF($S390="","",IFERROR(_xlfn.XLOOKUP($S390,CostData!$U$22:$U$1000,CostData!$T$22:$T$1000,""),""))</f>
        <v>Gasket</v>
      </c>
      <c r="R390" s="396" t="s">
        <v>2068</v>
      </c>
      <c r="S390" s="411" t="s">
        <v>1905</v>
      </c>
      <c r="T390" s="396" t="str" cm="1">
        <f t="array" ref="T390">_xlfn.LET(_xlpm.cd,INDEX($S:$S,ROW()),IF(_xlpm.cd="","",IFERROR(_xlfn.XLOOKUP(_xlpm.cd,CostData!$U$22:$U$1000,CostData!$W$22:$W$1000,""),"")))</f>
        <v>F18 Gasket</v>
      </c>
      <c r="U390" s="396" t="str" cm="1">
        <f t="array" ref="U390">_xlfn.LET(_xlpm.s,INDEX($S:$S,ROW()),IF(_xlpm.s="","",IFERROR(_xlfn.XLOOKUP(_xlpm.s,CostData!$U$22:$U$1000,CostData!$AA$22:$AA$1000,""),"")))</f>
        <v>Ft</v>
      </c>
      <c r="V390" s="396" t="str">
        <f>IFERROR(IF(OR(Enginuity!B67="",Enginuity!B66=""),"",Enginuity!B67*2+Enginuity!B66),"")</f>
        <v/>
      </c>
      <c r="W390" s="42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>
      <c r="A391" s="272" t="s">
        <v>2444</v>
      </c>
      <c r="B391" s="367" t="s">
        <v>1840</v>
      </c>
      <c r="C391" s="367" t="s">
        <v>2109</v>
      </c>
      <c r="D391" s="367" t="s">
        <v>1791</v>
      </c>
      <c r="E391" s="367" t="str" cm="1">
        <f t="array" ref="E391:E400">IFERROR(INDEX(_xlfn._xlws.FILTER(CostData!$P$3:$P$12,CostData!$P$3:$P$12&lt;&gt;""),_xlfn.SEQUENCE(10)),"")</f>
        <v>Default</v>
      </c>
      <c r="F391" s="408" t="str">
        <f>"▼ [Product Subtype]"</f>
        <v>▼ [Product Subtype]</v>
      </c>
      <c r="G391" s="367" t="str">
        <f>"▼ [Fix - Casement]"</f>
        <v>▼ [Fix - Casement]</v>
      </c>
      <c r="M391" s="405">
        <v>0.5212</v>
      </c>
      <c r="N391" s="367">
        <v>762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" t="s">
        <v>1811</v>
      </c>
      <c r="S391" s="24" t="s">
        <v>2168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W391" s="421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>
      <c r="A392" s="272" t="s">
        <v>2444</v>
      </c>
      <c r="B392" s="367" t="s">
        <v>1842</v>
      </c>
      <c r="C392" s="367" t="s">
        <v>2109</v>
      </c>
      <c r="D392" s="367" t="s">
        <v>1813</v>
      </c>
      <c r="E392" s="367" t="str">
        <v>Black Aluminium Mesh 1.6mm</v>
      </c>
      <c r="G392" s="367" t="s">
        <v>1931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" t="s">
        <v>1843</v>
      </c>
      <c r="S392" s="24" t="s">
        <v>2171</v>
      </c>
      <c r="T392" s="1" t="str" cm="1">
        <f t="array" ref="T392">_xlfn.LET(_xlpm.cd,INDEX($S:$S,ROW()),IF(_xlpm.cd="","",IFERROR(_xlfn.XLOOKUP(_xlpm.cd,CostData!$C$22:$C$1000,CostData!$E$22:$E$1000,""),"")))</f>
        <v xml:space="preserve">Inner - 72mm </v>
      </c>
      <c r="U392" s="1" t="s">
        <v>103</v>
      </c>
      <c r="V39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92" s="421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>
      <c r="A393" s="272" t="s">
        <v>2444</v>
      </c>
      <c r="B393" s="367" t="s">
        <v>382</v>
      </c>
      <c r="C393" s="367" t="s">
        <v>2109</v>
      </c>
      <c r="D393" s="367" t="s">
        <v>1792</v>
      </c>
      <c r="E393" s="367" t="str">
        <v>Black Aluminium Mesh 1.8mm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" t="s">
        <v>1857</v>
      </c>
      <c r="S393" s="24" t="s">
        <v>2169</v>
      </c>
      <c r="T393" s="1" t="str" cm="1">
        <f t="array" ref="T393">_xlfn.LET(_xlpm.cd,INDEX($S:$S,ROW()),IF(_xlpm.cd="","",IFERROR(_xlfn.XLOOKUP(_xlpm.cd,CostData!$C$22:$C$1000,CostData!$E$22:$E$1000,""),"")))</f>
        <v>Mullion - Small</v>
      </c>
      <c r="U393" s="1" t="s">
        <v>103</v>
      </c>
      <c r="V393" s="1">
        <f>IF(AND(Enginuity!$B$7&gt;0,Enginuity!$B$13&gt;1),(Enginuity!$B$13-1)*Enginuity!$B$7,"")</f>
        <v>24</v>
      </c>
      <c r="W393" s="421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>
      <c r="A394" s="272" t="s">
        <v>2444</v>
      </c>
      <c r="B394" s="367" t="s">
        <v>1841</v>
      </c>
      <c r="C394" s="367" t="s">
        <v>2109</v>
      </c>
      <c r="D394" s="367" t="s">
        <v>1814</v>
      </c>
      <c r="E394" s="367" t="str">
        <v>Black Stainless Steel Mesh 1.0mm</v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" t="s">
        <v>1856</v>
      </c>
      <c r="S394" s="24" t="s">
        <v>2169</v>
      </c>
      <c r="T394" s="1" t="str" cm="1">
        <f t="array" ref="T394">_xlfn.LET(_xlpm.cd,INDEX($S:$S,ROW()),IF(_xlpm.cd="","",IFERROR(_xlfn.XLOOKUP(_xlpm.cd,CostData!$C$22:$C$1000,CostData!$E$22:$E$1000,""),"")))</f>
        <v>Mullion - Small</v>
      </c>
      <c r="U394" s="1" t="s">
        <v>103</v>
      </c>
      <c r="W394" s="421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>
      <c r="A395" s="272" t="s">
        <v>2444</v>
      </c>
      <c r="C395" s="367" t="s">
        <v>2109</v>
      </c>
      <c r="E395" s="367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21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>
      <c r="A396" s="272" t="s">
        <v>2444</v>
      </c>
      <c r="C396" s="367" t="s">
        <v>2109</v>
      </c>
      <c r="E396" s="367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421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>
      <c r="A397" s="272" t="s">
        <v>2444</v>
      </c>
      <c r="C397" s="367" t="s">
        <v>2109</v>
      </c>
      <c r="E397" s="367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" t="s">
        <v>114</v>
      </c>
      <c r="S397" s="24" t="s">
        <v>2170</v>
      </c>
      <c r="T397" s="9">
        <f>Enginuity!A22</f>
        <v>0</v>
      </c>
      <c r="U397" s="1" t="s">
        <v>1930</v>
      </c>
      <c r="V397" s="1" t="str">
        <f>IF(TRIM(Enginuity!$A$22)="","",IF(AND(Enginuity!$B$6&gt;0,Enginuity!$B$7&gt;0,Enginuity!$B$13&gt;0),(2*Enginuity!$B$7*Enginuity!$B$13)+(2*Enginuity!$B$6),""))</f>
        <v/>
      </c>
      <c r="W397" s="421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2.38</v>
      </c>
    </row>
    <row r="398" spans="1:23">
      <c r="A398" s="272" t="s">
        <v>2444</v>
      </c>
      <c r="C398" s="367" t="s">
        <v>2109</v>
      </c>
      <c r="E398" s="367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21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>
      <c r="A399" s="272" t="s">
        <v>2444</v>
      </c>
      <c r="C399" s="367" t="s">
        <v>2109</v>
      </c>
      <c r="E399" s="367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21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>
      <c r="A400" s="272" t="s">
        <v>2444</v>
      </c>
      <c r="C400" s="367" t="s">
        <v>2109</v>
      </c>
      <c r="E400" s="367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21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>
      <c r="A401" s="272" t="s">
        <v>2444</v>
      </c>
      <c r="C401" s="367" t="s">
        <v>2109</v>
      </c>
      <c r="M401" s="1"/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21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>
      <c r="A402" s="272" t="s">
        <v>2444</v>
      </c>
      <c r="C402" s="367" t="s">
        <v>2109</v>
      </c>
      <c r="M402" s="1"/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21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>
      <c r="A403" s="272" t="s">
        <v>2444</v>
      </c>
      <c r="C403" s="367" t="s">
        <v>2109</v>
      </c>
      <c r="M403" s="1"/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21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>
      <c r="A404" s="272" t="s">
        <v>2444</v>
      </c>
      <c r="C404" s="367" t="s">
        <v>2109</v>
      </c>
      <c r="M404" s="1"/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>
        <f>"Insert"</f>
        <v>Insert</v>
      </c>
      <c r="R404" s="9" t="str">
        <f>S404</f>
        <v>Breezway 102mm Glass Infill</v>
      </c>
      <c r="S404" s="417" t="str">
        <f>Enginuity!$A$21</f>
        <v>Breezway 102mm Glass Infill</v>
      </c>
      <c r="T404" s="9" t="str">
        <f>S404</f>
        <v>Breezway 102mm Glass Infill</v>
      </c>
      <c r="U404" s="1" t="s">
        <v>176</v>
      </c>
      <c r="V404" s="1" cm="1">
        <f t="array" ref="V404">_xlfn.LET(_xlpm.vSel,TRIM(SUBSTITUTE(Enginuity!$A$21,CHAR(160)," ")),_xlpm.vCode,TRIM(SUBSTITUTE(INDEX(S:S,ROW()),CHAR(160)," ")),IF(AND(_xlpm.vSel&lt;&gt;"",_xlpm.vCode&lt;&gt;"",_xlpm.vSel=_xlpm.vCode),1,""))</f>
        <v>1</v>
      </c>
      <c r="W404" s="421" cm="1">
        <f t="array" ref="W404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405" spans="1:23">
      <c r="A405" s="272" t="s">
        <v>2444</v>
      </c>
      <c r="C405" s="367" t="s">
        <v>2109</v>
      </c>
      <c r="M405" s="1"/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05" s="1" t="str">
        <f>IF($T405="","","⬒ "&amp;$T405)</f>
        <v>⬒ Default</v>
      </c>
      <c r="S405" s="24" t="s">
        <v>1828</v>
      </c>
      <c r="T405" s="1" t="str" cm="1">
        <f t="array" ref="T40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05" s="1" t="str" cm="1">
        <f t="array" ref="U405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05" s="1" t="str">
        <f>IF(LEFT(UPPER(TRIM(SUBSTITUTE(Enginuity!$A$21,CHAR(160)," "))),8)="BREEZWAY","",IF(Enginuity!$B$9="","",Enginuity!$B$9))</f>
        <v/>
      </c>
      <c r="W405" s="421" cm="1">
        <f t="array" ref="W405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06" spans="1:23">
      <c r="A406" s="272" t="s">
        <v>2444</v>
      </c>
      <c r="C406" s="367" t="s">
        <v>2109</v>
      </c>
      <c r="F406" s="367" t="str">
        <f>"▼ [Insert]"</f>
        <v>▼ [Insert]</v>
      </c>
      <c r="M406" s="1"/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>
        <f>IF($S406="","",IFERROR(_xlfn.XLOOKUP($S406,CostData!$U$22:$U$1000,CostData!$T$22:$T$1000,""),""))</f>
        <v>Bracket</v>
      </c>
      <c r="R406" s="1" t="str">
        <f t="shared" ref="R406:R412" si="28">IF($S406="","",$T406)</f>
        <v>Angle Plate 16.4 X 2.3mm</v>
      </c>
      <c r="S406" s="24" t="s">
        <v>2179</v>
      </c>
      <c r="T406" s="1" t="str" cm="1">
        <f t="array" ref="T406">_xlfn.LET(_xlpm.cd,INDEX($S:$S,ROW()),IF(_xlpm.cd="","",IFERROR(_xlfn.XLOOKUP(_xlpm.cd,CostData!$U$22:$U$1000,CostData!$W$22:$W$1000,""),"")))</f>
        <v>Angle Plate 16.4 X 2.3mm</v>
      </c>
      <c r="U406" s="1" t="str">
        <f>IF($S406="","",IFERROR(_xlfn.XLOOKUP($S406,CostData!$U$22:$U$1000,CostData!$AA$22:$AA$1000,""),""))</f>
        <v>Pcs</v>
      </c>
      <c r="V406" s="1">
        <f>Enginuity!$B$13*4</f>
        <v>16</v>
      </c>
      <c r="W406" s="421" t="str" cm="1">
        <f t="array" ref="W4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7" spans="1:23">
      <c r="A407" s="272" t="s">
        <v>2444</v>
      </c>
      <c r="C407" s="367" t="s">
        <v>2109</v>
      </c>
      <c r="F407" s="367" t="s">
        <v>2079</v>
      </c>
      <c r="M407" s="1"/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tr">
        <f>IF($S407="","",IFERROR(_xlfn.XLOOKUP($S407,CostData!$U$22:$U$1000,CostData!$T$22:$T$1000,""),""))</f>
        <v>Bracket</v>
      </c>
      <c r="R407" s="1" t="str">
        <f t="shared" si="28"/>
        <v>Inner Bracket</v>
      </c>
      <c r="S407" s="24" t="s">
        <v>2180</v>
      </c>
      <c r="T407" s="1" t="str" cm="1">
        <f t="array" ref="T407">_xlfn.LET(_xlpm.cd,INDEX($S:$S,ROW()),IF(_xlpm.cd="","",IFERROR(_xlfn.XLOOKUP(_xlpm.cd,CostData!$U$22:$U$1000,CostData!$W$22:$W$1000,""),"")))</f>
        <v>Inner Bracket</v>
      </c>
      <c r="U407" s="1" t="str">
        <f>IF($S407="","",IFERROR(_xlfn.XLOOKUP($S407,CostData!$U$22:$U$1000,CostData!$AA$22:$AA$1000,""),""))</f>
        <v>Pcs</v>
      </c>
      <c r="V407" s="1">
        <f>Enginuity!$B$13*4</f>
        <v>16</v>
      </c>
      <c r="W407" s="421" t="str" cm="1">
        <f t="array" ref="W4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8" spans="1:23">
      <c r="A408" s="272" t="s">
        <v>2444</v>
      </c>
      <c r="C408" s="367" t="s">
        <v>2109</v>
      </c>
      <c r="F408" s="367" t="s">
        <v>2080</v>
      </c>
      <c r="M408" s="1"/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8" s="1" t="str">
        <f>IF($S408="","",IFERROR(_xlfn.XLOOKUP($S408,CostData!$U$22:$U$1000,CostData!$T$22:$T$1000,""),""))</f>
        <v>Bracket</v>
      </c>
      <c r="R408" s="1" t="str">
        <f t="shared" si="28"/>
        <v>Outer Bracket</v>
      </c>
      <c r="S408" s="24" t="s">
        <v>2181</v>
      </c>
      <c r="T408" s="1" t="str" cm="1">
        <f t="array" ref="T408">_xlfn.LET(_xlpm.cd,INDEX($S:$S,ROW()),IF(_xlpm.cd="","",IFERROR(_xlfn.XLOOKUP(_xlpm.cd,CostData!$U$22:$U$1000,CostData!$W$22:$W$1000,""),"")))</f>
        <v>Outer Bracket</v>
      </c>
      <c r="U408" s="1" t="str">
        <f>IF($S408="","",IFERROR(_xlfn.XLOOKUP($S408,CostData!$U$22:$U$1000,CostData!$AA$22:$AA$1000,""),""))</f>
        <v>Pcs</v>
      </c>
      <c r="V408" s="1">
        <f>4</f>
        <v>4</v>
      </c>
      <c r="W408" s="421" t="str" cm="1">
        <f t="array" ref="W4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09" spans="1:23">
      <c r="A409" s="272" t="s">
        <v>2444</v>
      </c>
      <c r="C409" s="367" t="s">
        <v>2109</v>
      </c>
      <c r="F409" s="367" t="s">
        <v>2081</v>
      </c>
      <c r="M409" s="1"/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9" s="1" t="str">
        <f>IF($S409="","",IFERROR(_xlfn.XLOOKUP($S409,CostData!$U$22:$U$1000,CostData!$T$22:$T$1000,""),""))</f>
        <v>Gasket</v>
      </c>
      <c r="R409" s="1" t="str">
        <f t="shared" si="28"/>
        <v>Outer Gasket</v>
      </c>
      <c r="S409" s="24" t="s">
        <v>2186</v>
      </c>
      <c r="T409" s="1" t="str" cm="1">
        <f t="array" ref="T409">_xlfn.LET(_xlpm.cd,INDEX($S:$S,ROW()),IF(_xlpm.cd="","",IFERROR(_xlfn.XLOOKUP(_xlpm.cd,CostData!$U$22:$U$1000,CostData!$W$22:$W$1000,""),"")))</f>
        <v>Outer Gasket</v>
      </c>
      <c r="U409" s="1" t="str">
        <f>IF($S409="","",IFERROR(_xlfn.XLOOKUP($S409,CostData!$U$22:$U$1000,CostData!$AA$22:$AA$1000,""),""))</f>
        <v>Ft</v>
      </c>
      <c r="V409" s="1">
        <f>Enginuity!$B$7*2*Enginuity!$B$13</f>
        <v>64</v>
      </c>
      <c r="W409" s="421" t="str" cm="1">
        <f t="array" ref="W4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0" spans="1:23">
      <c r="A410" s="272" t="s">
        <v>2444</v>
      </c>
      <c r="C410" s="367" t="s">
        <v>2109</v>
      </c>
      <c r="F410" s="367" t="s">
        <v>2426</v>
      </c>
      <c r="M410" s="1"/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0" s="1" t="str">
        <f>IF($S410="","",IFERROR(_xlfn.XLOOKUP($S410,CostData!$U$22:$U$1000,CostData!$T$22:$T$1000,""),""))</f>
        <v>Hinge</v>
      </c>
      <c r="R410" s="1" t="str">
        <f t="shared" si="28"/>
        <v>Hinge 805</v>
      </c>
      <c r="S410" s="24" t="s">
        <v>2188</v>
      </c>
      <c r="T410" s="1" t="str" cm="1">
        <f t="array" ref="T410">_xlfn.LET(_xlpm.cd,INDEX($S:$S,ROW()),IF(_xlpm.cd="","",IFERROR(_xlfn.XLOOKUP(_xlpm.cd,CostData!$U$22:$U$1000,CostData!$W$22:$W$1000,""),"")))</f>
        <v>Hinge 805</v>
      </c>
      <c r="U410" s="1" t="str">
        <f>IF($S410="","",IFERROR(_xlfn.XLOOKUP($S410,CostData!$U$22:$U$1000,CostData!$AA$22:$AA$1000,""),""))</f>
        <v>Pcs</v>
      </c>
      <c r="V410" s="1">
        <f>IF(OR(Enginuity!$B$7="",Enginuity!$B$13="",Enginuity!$B$7&lt;=0,Enginuity!$B$13&lt;=0,Enginuity!$B$7*304.8&gt;3000),"",IF(Enginuity!$B$7*304.8&lt;=1500,2,IF(Enginuity!$B$7*304.8&lt;2100,3,IF(Enginuity!$B$7*304.8&lt;=2500,4,5)))*Enginuity!$B$13)</f>
        <v>16</v>
      </c>
      <c r="W410" s="421" t="str" cm="1">
        <f t="array" ref="W4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1" spans="1:23">
      <c r="A411" s="272" t="s">
        <v>2444</v>
      </c>
      <c r="C411" s="367" t="s">
        <v>2109</v>
      </c>
      <c r="F411" s="367" t="s">
        <v>2427</v>
      </c>
      <c r="M411" s="1"/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1" s="1" t="str">
        <f>IF($S411="","",IFERROR(_xlfn.XLOOKUP($S411,CostData!$U$22:$U$1000,CostData!$T$22:$T$1000,""),""))</f>
        <v>Lock</v>
      </c>
      <c r="R411" s="1" t="str">
        <f t="shared" si="28"/>
        <v>Lock Cam 807</v>
      </c>
      <c r="S411" s="24" t="s">
        <v>2189</v>
      </c>
      <c r="T411" s="1" t="str" cm="1">
        <f t="array" ref="T411">_xlfn.LET(_xlpm.cd,INDEX($S:$S,ROW()),IF(_xlpm.cd="","",IFERROR(_xlfn.XLOOKUP(_xlpm.cd,CostData!$U$22:$U$1000,CostData!$W$22:$W$1000,""),"")))</f>
        <v>Lock Cam 807</v>
      </c>
      <c r="U411" s="1" t="str">
        <f>IF($S411="","",IFERROR(_xlfn.XLOOKUP($S411,CostData!$U$22:$U$1000,CostData!$AA$22:$AA$1000,""),""))</f>
        <v>Pcs</v>
      </c>
      <c r="V411" s="1">
        <f>Enginuity!$B$13*2</f>
        <v>8</v>
      </c>
      <c r="W411" s="421" t="str" cm="1">
        <f t="array" ref="W41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2" spans="1:23">
      <c r="A412" s="272" t="s">
        <v>2444</v>
      </c>
      <c r="C412" s="367" t="s">
        <v>2109</v>
      </c>
      <c r="F412" s="367" t="s">
        <v>2428</v>
      </c>
      <c r="M412" s="1"/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2" s="1" t="str">
        <f>IF($S412="","",IFERROR(_xlfn.XLOOKUP($S412,CostData!$U$22:$U$1000,CostData!$T$22:$T$1000,""),""))</f>
        <v>Lock</v>
      </c>
      <c r="R412" s="1" t="str">
        <f t="shared" si="28"/>
        <v>MP Keeper 804 6mm</v>
      </c>
      <c r="S412" s="24" t="s">
        <v>2190</v>
      </c>
      <c r="T412" s="1" t="str" cm="1">
        <f t="array" ref="T412">_xlfn.LET(_xlpm.cd,INDEX($S:$S,ROW()),IF(_xlpm.cd="","",IFERROR(_xlfn.XLOOKUP(_xlpm.cd,CostData!$U$22:$U$1000,CostData!$W$22:$W$1000,""),"")))</f>
        <v>MP Keeper 804 6mm</v>
      </c>
      <c r="U412" s="1" t="str">
        <f>IF($S412="","",IFERROR(_xlfn.XLOOKUP($S412,CostData!$U$22:$U$1000,CostData!$AA$22:$AA$1000,""),""))</f>
        <v>Pcs</v>
      </c>
      <c r="V412" s="1">
        <f>Enginuity!$B$13*2</f>
        <v>8</v>
      </c>
      <c r="W412" s="421" t="str" cm="1">
        <f t="array" ref="W41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3" spans="1:23">
      <c r="A413" s="272" t="s">
        <v>2444</v>
      </c>
      <c r="C413" s="367" t="s">
        <v>2109</v>
      </c>
      <c r="F413" s="367" t="s">
        <v>2429</v>
      </c>
      <c r="P413" s="1" t="str" cm="1">
        <f t="array" ref="P4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3" s="1" t="str">
        <f>IF($S413="","",IFERROR(_xlfn.XLOOKUP($S413,CostData!$U$22:$U$1000,CostData!$T$22:$T$1000,""),""))</f>
        <v>Lock</v>
      </c>
      <c r="R413" s="1" t="str">
        <f>IF($S413="","",$T413)</f>
        <v>Push Rod 808 30mm</v>
      </c>
      <c r="S413" s="24" t="s">
        <v>2191</v>
      </c>
      <c r="T413" s="1" t="str" cm="1">
        <f t="array" ref="T413">_xlfn.LET(_xlpm.cd,INDEX($S:$S,ROW()),IF(_xlpm.cd="","",IFERROR(_xlfn.XLOOKUP(_xlpm.cd,CostData!$U$22:$U$1000,CostData!$W$22:$W$1000,""),"")))</f>
        <v>Push Rod 808 30mm</v>
      </c>
      <c r="U413" s="1" t="str">
        <f>IF($S413="","",IFERROR(_xlfn.XLOOKUP($S413,CostData!$U$22:$U$1000,CostData!$AA$22:$AA$1000,""),""))</f>
        <v>Pcs</v>
      </c>
      <c r="V413" s="2">
        <f>Enginuity!$B$13</f>
        <v>4</v>
      </c>
      <c r="W413" s="421" t="str" cm="1">
        <f t="array" ref="W4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4" spans="1:23">
      <c r="A414" s="272" t="s">
        <v>2444</v>
      </c>
      <c r="C414" s="367" t="s">
        <v>2109</v>
      </c>
      <c r="F414" s="367" t="s">
        <v>2430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Friction Stay</v>
      </c>
      <c r="R414" s="1" t="str">
        <f>IF($S414="","",$T414)</f>
        <v>Friction Stay</v>
      </c>
      <c r="S414" s="24" t="s">
        <v>2182</v>
      </c>
      <c r="T414" s="1" t="str" cm="1">
        <f t="array" ref="T414">_xlfn.LET(_xlpm.cd,INDEX($S:$S,ROW()),IF(_xlpm.cd="","",IFERROR(_xlfn.XLOOKUP(_xlpm.cd,CostData!$U$22:$U$1000,CostData!$W$22:$W$1000,""),"")))</f>
        <v>Friction Stay</v>
      </c>
      <c r="U414" s="1" t="str">
        <f>IF($S414="","",IFERROR(_xlfn.XLOOKUP($S414,CostData!$U$22:$U$1000,CostData!$AA$22:$AA$1000,""),""))</f>
        <v>Pcs</v>
      </c>
      <c r="V414" s="1">
        <f>IF(TRIM(Enginuity!$A$22)="Fix Window","",IF(Enginuity!$B$13&gt;0,Enginuity!$B$13,""))</f>
        <v>4</v>
      </c>
      <c r="W414" s="421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>
      <c r="A415" s="272" t="s">
        <v>2444</v>
      </c>
      <c r="C415" s="367" t="s">
        <v>2109</v>
      </c>
      <c r="F415" s="367" t="s">
        <v>2431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" t="str">
        <f>IF($S415="","",$T415)</f>
        <v>Handle 036</v>
      </c>
      <c r="S415" s="24" t="s">
        <v>2187</v>
      </c>
      <c r="T415" s="1" t="str" cm="1">
        <f t="array" ref="T415">_xlfn.LET(_xlpm.cd,INDEX($S:$S,ROW()),IF(_xlpm.cd="","",IFERROR(_xlfn.XLOOKUP(_xlpm.cd,CostData!$U$22:$U$1000,CostData!$W$22:$W$1000,""),"")))</f>
        <v>Handle 036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4</v>
      </c>
      <c r="W415" s="421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>
      <c r="A416" s="272" t="s">
        <v>2444</v>
      </c>
      <c r="C416" s="367" t="s">
        <v>2109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" t="str">
        <f>IF($S416="","",$T416)</f>
        <v>2.5" x 2 Black Tape</v>
      </c>
      <c r="S416" s="24" t="s">
        <v>1891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IF(SUM($V$391:$V$397)=0,"",SUM($V$391:$V$397)*2)</f>
        <v>176</v>
      </c>
      <c r="W416" s="421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>
      <c r="A417" s="272" t="s">
        <v>2444</v>
      </c>
      <c r="C417" s="367" t="s">
        <v>2109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" t="s">
        <v>1924</v>
      </c>
      <c r="S417" s="24" t="s">
        <v>2183</v>
      </c>
      <c r="T417" s="1" t="str" cm="1">
        <f t="array" ref="T417">_xlfn.LET(_xlpm.cd,INDEX($S:$S,ROW()),IF(_xlpm.cd="","",IFERROR(_xlfn.XLOOKUP(_xlpm.cd,CostData!$U$22:$U$1000,CostData!$W$22:$W$1000,""),"")))</f>
        <v>Double Side Panel Inner Glass Gasket</v>
      </c>
      <c r="U417" s="1" t="str">
        <f>IF($S417="","",IFERROR(_xlfn.XLOOKUP($S417,CostData!$U$22:$U$1000,CostData!$AA$22:$AA$1000,""),""))</f>
        <v>Ft</v>
      </c>
      <c r="V417" s="1" t="str">
        <f>IF(V392="","",V392)</f>
        <v/>
      </c>
      <c r="W417" s="421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>
      <c r="A418" s="272" t="s">
        <v>2444</v>
      </c>
      <c r="C418" s="367" t="s">
        <v>2109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" t="s">
        <v>1925</v>
      </c>
      <c r="S418" s="24" t="s">
        <v>2185</v>
      </c>
      <c r="T418" s="1" t="str" cm="1">
        <f t="array" ref="T418">_xlfn.LET(_xlpm.cd,INDEX($S:$S,ROW()),IF(_xlpm.cd="","",IFERROR(_xlfn.XLOOKUP(_xlpm.cd,CostData!$U$22:$U$1000,CostData!$W$22:$W$1000,""),"")))</f>
        <v>Inner Gasket</v>
      </c>
      <c r="U418" s="1" t="str">
        <f>IF($S418="","",IFERROR(_xlfn.XLOOKUP($S418,CostData!$U$22:$U$1000,CostData!$AA$22:$AA$1000,""),""))</f>
        <v>Ft</v>
      </c>
      <c r="V418" s="1" t="str">
        <f>IF($V$392="","",$V$392)</f>
        <v/>
      </c>
      <c r="W418" s="421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>
      <c r="A419" s="272" t="s">
        <v>2444</v>
      </c>
      <c r="C419" s="367" t="s">
        <v>2109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" t="s">
        <v>1923</v>
      </c>
      <c r="S419" s="24" t="s">
        <v>2183</v>
      </c>
      <c r="T419" s="1" t="str" cm="1">
        <f t="array" ref="T419">_xlfn.LET(_xlpm.cd,INDEX($S:$S,ROW()),IF(_xlpm.cd="","",IFERROR(_xlfn.XLOOKUP(_xlpm.cd,CostData!$U$22:$U$1000,CostData!$W$22:$W$1000,""),"")))</f>
        <v>Double Side Panel Inner Glass Gasket</v>
      </c>
      <c r="U419" s="1" t="str">
        <f>IF($S419="","",IFERROR(_xlfn.XLOOKUP($S419,CostData!$U$22:$U$1000,CostData!$AA$22:$AA$1000,""),""))</f>
        <v>Ft</v>
      </c>
      <c r="V419" s="1" t="str">
        <f>IF(V392="","",V392*2)</f>
        <v/>
      </c>
      <c r="W419" s="421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>
      <c r="A420" s="272" t="s">
        <v>2444</v>
      </c>
      <c r="C420" s="367" t="s">
        <v>2109</v>
      </c>
      <c r="F420" s="395"/>
      <c r="Q420" s="1" t="str">
        <f>IF($S420="","",IFERROR(_xlfn.XLOOKUP($S420,CostData!$U$22:$U$1000,CostData!$T$22:$T$1000,""),""))</f>
        <v>Gasket</v>
      </c>
      <c r="R420" s="1" t="s">
        <v>1926</v>
      </c>
      <c r="S420" s="24" t="s">
        <v>2183</v>
      </c>
      <c r="T420" s="1" t="str" cm="1">
        <f t="array" ref="T420">_xlfn.LET(_xlpm.cd,INDEX($S:$S,ROW()),IF(_xlpm.cd="","",IFERROR(_xlfn.XLOOKUP(_xlpm.cd,CostData!$U$22:$U$1000,CostData!$W$22:$W$1000,""),"")))</f>
        <v>Double Side Panel Inner Glass Gasket</v>
      </c>
      <c r="U420" s="1" t="str">
        <f>IF($S420="","",IFERROR(_xlfn.XLOOKUP($S420,CostData!$U$22:$U$1000,CostData!$AA$22:$AA$1000,""),""))</f>
        <v>Ft</v>
      </c>
      <c r="V420" s="1">
        <f>IF(SUM($V$393:$V$394)=0,"",SUM($V$393:$V$394)*2)</f>
        <v>48</v>
      </c>
      <c r="W420" s="421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>
      <c r="A421" s="272" t="s">
        <v>2444</v>
      </c>
      <c r="B421" s="408" t="s">
        <v>1840</v>
      </c>
      <c r="C421" s="408" t="s">
        <v>2110</v>
      </c>
      <c r="D421" s="408" t="s">
        <v>1791</v>
      </c>
      <c r="E421" s="408" t="str" cm="1">
        <f t="array" ref="E421:E430">IFERROR(INDEX(_xlfn._xlws.FILTER(CostData!$P$3:$P$12,CostData!$P$3:$P$12&lt;&gt;""),_xlfn.SEQUENCE(10)),"")</f>
        <v>Default</v>
      </c>
      <c r="F421" s="408" t="str">
        <f>"▼ [Product Subtype]"</f>
        <v>▼ [Product Subtype]</v>
      </c>
      <c r="G421" s="408"/>
      <c r="H421" s="408"/>
      <c r="I421" s="408"/>
      <c r="J421" s="408"/>
      <c r="K421" s="408"/>
      <c r="L421" s="408"/>
      <c r="M421" s="413">
        <v>0.47895554108750998</v>
      </c>
      <c r="N421" s="408">
        <v>762</v>
      </c>
      <c r="O421" s="408"/>
      <c r="P421" s="404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404" t="str" cm="1">
        <f t="array" ref="Q421">_xlfn.LET(_xlpm.cd,INDEX($S:$S,ROW()),IF(_xlpm.cd="","",IFERROR(_xlfn.XLOOKUP(_xlpm.cd,CostData!$C$22:$C$1000,CostData!$B$22:$B$1000,""),"")))</f>
        <v>Aluminium</v>
      </c>
      <c r="R421" s="404" t="str">
        <f>T421</f>
        <v>Outer Top</v>
      </c>
      <c r="S421" s="410" t="s">
        <v>2097</v>
      </c>
      <c r="T421" s="404" t="str" cm="1">
        <f t="array" ref="T421">_xlfn.LET(_xlpm.cd,INDEX($S:$S,ROW()),IF(_xlpm.cd="","",IFERROR(_xlfn.XLOOKUP(_xlpm.cd,CostData!$C$22:$C$1000,CostData!$E$22:$E$1000,""),"")))</f>
        <v>Outer Top</v>
      </c>
      <c r="U421" s="404" t="s">
        <v>103</v>
      </c>
      <c r="V421" s="404">
        <f>IF(Enginuity!$B$6="","",Enginuity!$B$6)</f>
        <v>8</v>
      </c>
      <c r="W421" s="423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>
      <c r="A422" s="272" t="s">
        <v>2444</v>
      </c>
      <c r="B422" s="367" t="s">
        <v>1842</v>
      </c>
      <c r="C422" s="367" t="s">
        <v>2110</v>
      </c>
      <c r="D422" s="367" t="s">
        <v>1813</v>
      </c>
      <c r="E422" s="367" t="str">
        <v>Black Aluminium Mesh 1.6mm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" t="str">
        <f t="shared" ref="R422:R429" si="29">T422</f>
        <v>Outer Stand</v>
      </c>
      <c r="S422" s="24" t="s">
        <v>2099</v>
      </c>
      <c r="T422" s="1" t="str" cm="1">
        <f t="array" ref="T422">_xlfn.LET(_xlpm.cd,INDEX($S:$S,ROW()),IF(_xlpm.cd="","",IFERROR(_xlfn.XLOOKUP(_xlpm.cd,CostData!$C$22:$C$1000,CostData!$E$22:$E$1000,""),"")))</f>
        <v>Outer Stand</v>
      </c>
      <c r="U422" s="1" t="s">
        <v>103</v>
      </c>
      <c r="V422" s="1">
        <f>IF(Enginuity!$B$7="","",Enginuity!$B$7*2)</f>
        <v>16</v>
      </c>
      <c r="W422" s="421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>
      <c r="A423" s="272" t="s">
        <v>2444</v>
      </c>
      <c r="B423" s="367" t="s">
        <v>382</v>
      </c>
      <c r="C423" s="367" t="s">
        <v>2110</v>
      </c>
      <c r="D423" s="367" t="s">
        <v>1792</v>
      </c>
      <c r="E423" s="367" t="str">
        <v>Black Aluminium Mesh 1.8mm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" t="str">
        <f t="shared" si="29"/>
        <v>Bottom U Box</v>
      </c>
      <c r="S423" s="24" t="s">
        <v>2098</v>
      </c>
      <c r="T423" s="1" t="str" cm="1">
        <f t="array" ref="T423">_xlfn.LET(_xlpm.cd,INDEX($S:$S,ROW()),IF(_xlpm.cd="","",IFERROR(_xlfn.XLOOKUP(_xlpm.cd,CostData!$C$22:$C$1000,CostData!$E$22:$E$1000,""),"")))</f>
        <v>Bottom U Box</v>
      </c>
      <c r="U423" s="1" t="s">
        <v>103</v>
      </c>
      <c r="V423" s="1">
        <f>IF(Enginuity!$B$6="","",Enginuity!$B$6)</f>
        <v>8</v>
      </c>
      <c r="W423" s="421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>
      <c r="A424" s="272" t="s">
        <v>2444</v>
      </c>
      <c r="B424" s="367" t="s">
        <v>1841</v>
      </c>
      <c r="C424" s="367" t="s">
        <v>2110</v>
      </c>
      <c r="D424" s="367" t="s">
        <v>1814</v>
      </c>
      <c r="E424" s="367" t="str">
        <v>Black Stainless Steel Mesh 1.0mm</v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" t="str">
        <f t="shared" si="29"/>
        <v>Inner Beading</v>
      </c>
      <c r="S424" s="24" t="s">
        <v>2103</v>
      </c>
      <c r="T424" s="1" t="str" cm="1">
        <f t="array" ref="T424">_xlfn.LET(_xlpm.cd,INDEX($S:$S,ROW()),IF(_xlpm.cd="","",IFERROR(_xlfn.XLOOKUP(_xlpm.cd,CostData!$C$22:$C$1000,CostData!$E$22:$E$1000,""),"")))</f>
        <v>Inner Beading</v>
      </c>
      <c r="U424" s="1" t="s">
        <v>103</v>
      </c>
      <c r="V424" s="1">
        <f>IF(OR(Enginuity!$B$6="",Enginuity!$B$7="",Enginuity!$B$13=""),"",((2*Enginuity!$B$7*Enginuity!$B$13)+(2*Enginuity!$B$6)))</f>
        <v>80</v>
      </c>
      <c r="W424" s="421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>
      <c r="A425" s="272" t="s">
        <v>2444</v>
      </c>
      <c r="C425" s="367" t="s">
        <v>2110</v>
      </c>
      <c r="E425" s="367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>Aluminium</v>
      </c>
      <c r="R425" s="1" t="str">
        <f t="shared" si="29"/>
        <v>Inner</v>
      </c>
      <c r="S425" s="24" t="s">
        <v>2102</v>
      </c>
      <c r="T425" s="1" t="str" cm="1">
        <f t="array" ref="T425">_xlfn.LET(_xlpm.cd,INDEX($S:$S,ROW()),IF(_xlpm.cd="","",IFERROR(_xlfn.XLOOKUP(_xlpm.cd,CostData!$C$22:$C$1000,CostData!$E$22:$E$1000,""),"")))</f>
        <v>Inner</v>
      </c>
      <c r="U425" s="1" t="s">
        <v>103</v>
      </c>
      <c r="V425" s="1">
        <f>IF(OR(Enginuity!$B$6="",Enginuity!$B$7="",Enginuity!$B$13=""),"",((2*Enginuity!$B$7*Enginuity!$B$13)+(2*Enginuity!$B$6)))</f>
        <v>80</v>
      </c>
      <c r="W425" s="421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>
      <c r="A426" s="272" t="s">
        <v>2444</v>
      </c>
      <c r="C426" s="367" t="s">
        <v>2110</v>
      </c>
      <c r="E426" s="367" t="str">
        <v/>
      </c>
      <c r="P426" s="1" t="str" cm="1">
        <f t="array" ref="P4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6" s="1" t="str" cm="1">
        <f t="array" ref="Q426">_xlfn.LET(_xlpm.cd,INDEX($S:$S,ROW()),IF(_xlpm.cd="","",IFERROR(_xlfn.XLOOKUP(_xlpm.cd,CostData!$C$22:$C$1000,CostData!$B$22:$B$1000,""),"")))</f>
        <v>Aluminium</v>
      </c>
      <c r="R426" s="1" t="str">
        <f t="shared" si="29"/>
        <v>Inner Frame Cover</v>
      </c>
      <c r="S426" s="24" t="s">
        <v>2104</v>
      </c>
      <c r="T426" s="1" t="str" cm="1">
        <f t="array" ref="T426">_xlfn.LET(_xlpm.cd,INDEX($S:$S,ROW()),IF(_xlpm.cd="","",IFERROR(_xlfn.XLOOKUP(_xlpm.cd,CostData!$C$22:$C$1000,CostData!$E$22:$E$1000,""),"")))</f>
        <v>Inner Frame Cover</v>
      </c>
      <c r="U426" s="1" t="s">
        <v>103</v>
      </c>
      <c r="V426" s="1">
        <f>IF(Enginuity!$B$7="","",Enginuity!$B$7)</f>
        <v>8</v>
      </c>
      <c r="W426" s="421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>
      <c r="A427" s="272" t="s">
        <v>2444</v>
      </c>
      <c r="C427" s="367" t="s">
        <v>2110</v>
      </c>
      <c r="E427" s="367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" t="str">
        <f t="shared" si="29"/>
        <v>Mid-Post</v>
      </c>
      <c r="S427" s="24" t="s">
        <v>2100</v>
      </c>
      <c r="T427" s="1" t="str" cm="1">
        <f t="array" ref="T427">_xlfn.LET(_xlpm.cd,INDEX($S:$S,ROW()),IF(_xlpm.cd="","",IFERROR(_xlfn.XLOOKUP(_xlpm.cd,CostData!$C$22:$C$1000,CostData!$E$22:$E$1000,""),"")))</f>
        <v>Mid-Post</v>
      </c>
      <c r="U427" s="1" t="s">
        <v>103</v>
      </c>
      <c r="V427" s="1">
        <f>IF(OR(Enginuity!$B$7="",Enginuity!$B$13=""),"",MAX(Enginuity!$B$13-1,0)*Enginuity!$B$7)</f>
        <v>24</v>
      </c>
      <c r="W427" s="421" t="str" cm="1">
        <f t="array" ref="W42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8" spans="1:23">
      <c r="A428" s="272" t="s">
        <v>2444</v>
      </c>
      <c r="C428" s="367" t="s">
        <v>2110</v>
      </c>
      <c r="E428" s="367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>Aluminium</v>
      </c>
      <c r="R428" s="1" t="str">
        <f t="shared" si="29"/>
        <v>Centre Clip</v>
      </c>
      <c r="S428" s="24" t="s">
        <v>2106</v>
      </c>
      <c r="T428" s="1" t="str" cm="1">
        <f t="array" ref="T428">_xlfn.LET(_xlpm.cd,INDEX($S:$S,ROW()),IF(_xlpm.cd="","",IFERROR(_xlfn.XLOOKUP(_xlpm.cd,CostData!$C$22:$C$1000,CostData!$E$22:$E$1000,""),"")))</f>
        <v>Centre Clip</v>
      </c>
      <c r="U428" s="1" t="s">
        <v>103</v>
      </c>
      <c r="V428" s="1">
        <f>IF(Enginuity!$B$7="","",Enginuity!$B$7*2)</f>
        <v>16</v>
      </c>
      <c r="W428" s="421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>
      <c r="A429" s="272" t="s">
        <v>2444</v>
      </c>
      <c r="C429" s="367" t="s">
        <v>2110</v>
      </c>
      <c r="E429" s="367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>Aluminium</v>
      </c>
      <c r="R429" s="1" t="str">
        <f t="shared" si="29"/>
        <v>Lock Bar</v>
      </c>
      <c r="S429" s="417" t="s">
        <v>2107</v>
      </c>
      <c r="T429" s="1" t="str" cm="1">
        <f t="array" ref="T429">_xlfn.LET(_xlpm.cd,INDEX($S:$S,ROW()),IF(_xlpm.cd="","",IFERROR(_xlfn.XLOOKUP(_xlpm.cd,CostData!$C$22:$C$1000,CostData!$E$22:$E$1000,""),"")))</f>
        <v>Lock Bar</v>
      </c>
      <c r="U429" s="1" t="s">
        <v>103</v>
      </c>
      <c r="V429" s="1">
        <f>IF(OR(Enginuity!$B$7="",Enginuity!$B$13=""),"",Enginuity!$B$13*Enginuity!$B$7)</f>
        <v>32</v>
      </c>
      <c r="W429" s="421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>
      <c r="A430" s="272" t="s">
        <v>2444</v>
      </c>
      <c r="C430" s="367" t="s">
        <v>2110</v>
      </c>
      <c r="E430" s="367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367"/>
      <c r="R430" s="367"/>
      <c r="S430" s="425"/>
      <c r="T430" s="367"/>
      <c r="U430" s="367"/>
      <c r="V430" s="367"/>
      <c r="W430" s="367"/>
    </row>
    <row r="431" spans="1:23">
      <c r="A431" s="272" t="s">
        <v>2444</v>
      </c>
      <c r="C431" s="367" t="s">
        <v>2110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421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>
      <c r="A432" s="272" t="s">
        <v>2444</v>
      </c>
      <c r="C432" s="367" t="s">
        <v>2110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421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>
      <c r="A433" s="272" t="s">
        <v>2444</v>
      </c>
      <c r="C433" s="367" t="s">
        <v>2110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421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>
      <c r="A434" s="272" t="s">
        <v>2444</v>
      </c>
      <c r="C434" s="367" t="s">
        <v>2110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>
        <f>"Insert"</f>
        <v>Insert</v>
      </c>
      <c r="R434" s="9" t="str">
        <f>S434</f>
        <v>Breezway 102mm Glass Infill</v>
      </c>
      <c r="S434" s="417" t="str">
        <f>Enginuity!$A$21</f>
        <v>Breezway 102mm Glass Infill</v>
      </c>
      <c r="T434" s="9" t="str">
        <f>S434</f>
        <v>Breezway 102mm Glass Infill</v>
      </c>
      <c r="U434" s="1" t="s">
        <v>176</v>
      </c>
      <c r="V434" s="1" cm="1">
        <f t="array" ref="V434">_xlfn.LET(_xlpm.vSel,TRIM(SUBSTITUTE(Enginuity!$A$21,CHAR(160)," ")),_xlpm.vCode,TRIM(SUBSTITUTE(INDEX(S:S,ROW()),CHAR(160)," ")),IF(AND(_xlpm.vSel&lt;&gt;"",_xlpm.vCode&lt;&gt;"",_xlpm.vSel=_xlpm.vCode),1,""))</f>
        <v>1</v>
      </c>
      <c r="W434" s="421" cm="1">
        <f t="array" ref="W434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435" spans="1:23">
      <c r="A435" s="272" t="s">
        <v>2444</v>
      </c>
      <c r="C435" s="367" t="s">
        <v>2110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35" s="1" t="str">
        <f>IF($T435="","","⬒ "&amp;$T435)</f>
        <v>⬒ Default</v>
      </c>
      <c r="S435" s="24" t="s">
        <v>1828</v>
      </c>
      <c r="T435" s="1" t="str" cm="1">
        <f t="array" ref="T43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35" s="1" t="str" cm="1">
        <f t="array" ref="U435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35" s="1" t="str">
        <f>IF(LEFT(UPPER(TRIM(SUBSTITUTE(Enginuity!$A$21,CHAR(160)," "))),8)="BREEZWAY","",IF(Enginuity!$B$9="","",Enginuity!$B$9))</f>
        <v/>
      </c>
      <c r="W435" s="421" cm="1">
        <f t="array" ref="W435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36" spans="1:23">
      <c r="A436" s="272" t="s">
        <v>2444</v>
      </c>
      <c r="C436" s="367" t="s">
        <v>2110</v>
      </c>
      <c r="F436" s="367" t="str">
        <f>"▼ [Insert]"</f>
        <v>▼ [Insert]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6" s="421"/>
    </row>
    <row r="437" spans="1:23">
      <c r="A437" s="272" t="s">
        <v>2444</v>
      </c>
      <c r="C437" s="367" t="s">
        <v>2110</v>
      </c>
      <c r="F437" s="367" t="s">
        <v>2079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37" s="421" t="str" cm="1">
        <f t="array" ref="W4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8" spans="1:23">
      <c r="A438" s="272" t="s">
        <v>2444</v>
      </c>
      <c r="C438" s="367" t="s">
        <v>2110</v>
      </c>
      <c r="F438" s="367" t="s">
        <v>2080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8" s="1" t="str">
        <f>IF($S438="","",IFERROR(_xlfn.XLOOKUP($S438,CostData!$U$22:$U$1000,CostData!$T$22:$T$1000,""),""))</f>
        <v>Conceal Folding Door Acc</v>
      </c>
      <c r="R438" s="1" t="str">
        <f t="shared" ref="R438" si="30">T438</f>
        <v>Conceal Folding Door Lockset Set (PRIMS LR 316 + JDB Mortise + CYL-70-SGL)</v>
      </c>
      <c r="S438" s="24" t="s">
        <v>2166</v>
      </c>
      <c r="T438" s="1" t="str" cm="1">
        <f t="array" ref="T438">_xlfn.LET(_xlpm.cd,INDEX($S:$S,ROW()),IF(_xlpm.cd="","",IFERROR(_xlfn.XLOOKUP(_xlpm.cd,CostData!$U$22:$U$1000,CostData!$W$22:$W$1000,""),"")))</f>
        <v>Conceal Folding Door Lockset Set (PRIMS LR 316 + JDB Mortise + CYL-70-SGL)</v>
      </c>
      <c r="U438" s="1" t="s">
        <v>112</v>
      </c>
      <c r="V438" s="1">
        <f>IF(MOD(Enginuity!$B$13,2)=1,1,0)</f>
        <v>0</v>
      </c>
      <c r="W438" s="421" t="str" cm="1">
        <f t="array" ref="W4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39" spans="1:23">
      <c r="A439" s="272" t="s">
        <v>2444</v>
      </c>
      <c r="C439" s="367" t="s">
        <v>2110</v>
      </c>
      <c r="F439" s="367" t="s">
        <v>2081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9" s="1" t="str">
        <f>IF($S439="","",IFERROR(_xlfn.XLOOKUP($S439,CostData!$U$22:$U$1000,CostData!$T$22:$T$1000,""),""))</f>
        <v>Conceal Folding Door Acc</v>
      </c>
      <c r="R439" s="1" t="str">
        <f t="shared" ref="R439:R442" si="31">T439</f>
        <v>Conceal Folding Door Top Roller Set With 4 Set Nylon Wheels</v>
      </c>
      <c r="S439" s="24" t="s">
        <v>2155</v>
      </c>
      <c r="T439" s="1" t="str" cm="1">
        <f t="array" ref="T439">_xlfn.LET(_xlpm.cd,INDEX($S:$S,ROW()),IF(_xlpm.cd="","",IFERROR(_xlfn.XLOOKUP(_xlpm.cd,CostData!$U$22:$U$1000,CostData!$W$22:$W$1000,""),"")))</f>
        <v>Conceal Folding Door Top Roller Set With 4 Set Nylon Wheels</v>
      </c>
      <c r="U439" s="1" t="s">
        <v>112</v>
      </c>
      <c r="V439" s="1">
        <f>FLOOR(Enginuity!$B$13/2,1)</f>
        <v>2</v>
      </c>
      <c r="W439" s="421" t="str" cm="1">
        <f t="array" ref="W4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0" spans="1:23">
      <c r="A440" s="272" t="s">
        <v>2444</v>
      </c>
      <c r="C440" s="367" t="s">
        <v>2110</v>
      </c>
      <c r="F440" s="367" t="s">
        <v>2426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0" s="1" t="str">
        <f>IF($S440="","",IFERROR(_xlfn.XLOOKUP($S440,CostData!$U$22:$U$1000,CostData!$T$22:$T$1000,""),""))</f>
        <v>Conceal Folding Door Acc</v>
      </c>
      <c r="R440" s="1" t="str">
        <f t="shared" si="31"/>
        <v>Conceal Folding Door Bottom Guide Set With Bearing Roller</v>
      </c>
      <c r="S440" s="24" t="s">
        <v>2158</v>
      </c>
      <c r="T440" s="1" t="str" cm="1">
        <f t="array" ref="T440">_xlfn.LET(_xlpm.cd,INDEX($S:$S,ROW()),IF(_xlpm.cd="","",IFERROR(_xlfn.XLOOKUP(_xlpm.cd,CostData!$U$22:$U$1000,CostData!$W$22:$W$1000,""),"")))</f>
        <v>Conceal Folding Door Bottom Guide Set With Bearing Roller</v>
      </c>
      <c r="U440" s="1" t="s">
        <v>112</v>
      </c>
      <c r="V440" s="1">
        <f>FLOOR(Enginuity!$B$13/2,1)</f>
        <v>2</v>
      </c>
      <c r="W440" s="421" t="str" cm="1">
        <f t="array" ref="W4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1" spans="1:23">
      <c r="A441" s="272" t="s">
        <v>2444</v>
      </c>
      <c r="C441" s="367" t="s">
        <v>2110</v>
      </c>
      <c r="F441" s="367" t="s">
        <v>2427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1" s="1" t="str">
        <f>IF($S441="","",IFERROR(_xlfn.XLOOKUP($S441,CostData!$U$22:$U$1000,CostData!$T$22:$T$1000,""),""))</f>
        <v>Conceal Folding Door Acc</v>
      </c>
      <c r="R441" s="1" t="str">
        <f t="shared" si="31"/>
        <v>Conceal Folding Door Transmission Lock Box</v>
      </c>
      <c r="S441" s="24" t="s">
        <v>2151</v>
      </c>
      <c r="T441" s="1" t="str" cm="1">
        <f t="array" ref="T441">_xlfn.LET(_xlpm.cd,INDEX($S:$S,ROW()),IF(_xlpm.cd="","",IFERROR(_xlfn.XLOOKUP(_xlpm.cd,CostData!$U$22:$U$1000,CostData!$W$22:$W$1000,""),"")))</f>
        <v>Conceal Folding Door Transmission Lock Box</v>
      </c>
      <c r="U441" s="1" t="s">
        <v>112</v>
      </c>
      <c r="V441" s="1">
        <f>FLOOR(Enginuity!$B$13/2,1)</f>
        <v>2</v>
      </c>
      <c r="W441" s="421" t="str" cm="1">
        <f t="array" ref="W44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2" spans="1:23">
      <c r="A442" s="272" t="s">
        <v>2444</v>
      </c>
      <c r="C442" s="367" t="s">
        <v>2110</v>
      </c>
      <c r="F442" s="367" t="s">
        <v>2428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2" s="1" t="str">
        <f>IF($S442="","",IFERROR(_xlfn.XLOOKUP($S442,CostData!$U$22:$U$1000,CostData!$T$22:$T$1000,""),""))</f>
        <v>Conceal Folding Door Acc</v>
      </c>
      <c r="R442" s="1" t="str">
        <f t="shared" si="31"/>
        <v>Conceal Folding Door Multipoint Door Handle Single Side Black</v>
      </c>
      <c r="S442" s="24" t="s">
        <v>2153</v>
      </c>
      <c r="T442" s="1" t="str" cm="1">
        <f t="array" ref="T442">_xlfn.LET(_xlpm.cd,INDEX($S:$S,ROW()),IF(_xlpm.cd="","",IFERROR(_xlfn.XLOOKUP(_xlpm.cd,CostData!$U$22:$U$1000,CostData!$W$22:$W$1000,""),"")))</f>
        <v>Conceal Folding Door Multipoint Door Handle Single Side Black</v>
      </c>
      <c r="U442" s="1" t="s">
        <v>112</v>
      </c>
      <c r="V442" s="1">
        <f>FLOOR(Enginuity!$B$13/2,1)</f>
        <v>2</v>
      </c>
      <c r="W442" s="421" t="str" cm="1">
        <f t="array" ref="W44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3" spans="1:23">
      <c r="A443" s="272" t="s">
        <v>2444</v>
      </c>
      <c r="C443" s="367" t="s">
        <v>2110</v>
      </c>
      <c r="F443" s="367" t="s">
        <v>2429</v>
      </c>
      <c r="P443" s="1" t="str" cm="1">
        <f t="array" ref="P4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3" s="1" t="str">
        <f>IF($S443="","",IFERROR(_xlfn.XLOOKUP($S443,CostData!$U$22:$U$1000,CostData!$T$22:$T$1000,""),""))</f>
        <v>Conceal Folding Door Acc</v>
      </c>
      <c r="R443" s="1" t="str">
        <f>Q443</f>
        <v>Conceal Folding Door Acc</v>
      </c>
      <c r="S443" s="24" t="s">
        <v>2148</v>
      </c>
      <c r="T443" s="1" t="str" cm="1">
        <f t="array" ref="T443">_xlfn.LET(_xlpm.cd,INDEX($S:$S,ROW()),IF(_xlpm.cd="","",IFERROR(_xlfn.XLOOKUP(_xlpm.cd,CostData!$U$22:$U$1000,CostData!$W$22:$W$1000,""),"")))</f>
        <v>Heavy Duty Conceal Hinge</v>
      </c>
      <c r="U443" s="1" t="s">
        <v>112</v>
      </c>
      <c r="V443" s="1">
        <f>(Enginuity!$B$13*
  IF(Enginuity!$B$7&lt;=7,3,
  IF(Enginuity!$B$7&lt;=9,4,
  IF(Enginuity!$B$7&lt;=11,5,6))))
  - (2*FLOOR((Enginuity!$B$13-1)/2,1))</f>
        <v>14</v>
      </c>
      <c r="W443" s="421" t="str" cm="1">
        <f t="array" ref="W44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4" spans="1:23">
      <c r="A444" s="272" t="s">
        <v>2444</v>
      </c>
      <c r="C444" s="367" t="s">
        <v>2110</v>
      </c>
      <c r="F444" s="367" t="s">
        <v>2430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Conceal Folding Door Acc</v>
      </c>
      <c r="R444" s="1" t="str">
        <f>T444</f>
        <v>Conceal Folding Door Concealed Flush Bolt Black Big</v>
      </c>
      <c r="S444" s="24" t="s">
        <v>2160</v>
      </c>
      <c r="T444" s="1" t="str" cm="1">
        <f t="array" ref="T444">_xlfn.LET(_xlpm.cd,INDEX($S:$S,ROW()),IF(_xlpm.cd="","",IFERROR(_xlfn.XLOOKUP(_xlpm.cd,CostData!$U$22:$U$1000,CostData!$W$22:$W$1000,""),"")))</f>
        <v>Conceal Folding Door Concealed Flush Bolt Black Big</v>
      </c>
      <c r="U444" s="1" t="str">
        <f>IF($S444="","",IFERROR(_xlfn.XLOOKUP($S444,CostData!$U$22:$U$1000,CostData!$AA$22:$AA$1000,""),""))</f>
        <v>Pair</v>
      </c>
      <c r="V444" s="1">
        <f>(FLOOR(Enginuity!$B$13/2,1)*2)+IF(MOD(Enginuity!$B$13,2)=1,2,0)</f>
        <v>4</v>
      </c>
      <c r="W444" s="421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>
      <c r="A445" s="272" t="s">
        <v>2444</v>
      </c>
      <c r="C445" s="367" t="s">
        <v>2110</v>
      </c>
      <c r="F445" s="367" t="s">
        <v>2431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Conceal Folding Door Acc</v>
      </c>
      <c r="R445" s="1" t="str">
        <f t="shared" ref="R445:R448" si="32">T445</f>
        <v>Conceal Folding Door LB Inner &amp; Outer Aluminium Bracket</v>
      </c>
      <c r="S445" s="24" t="s">
        <v>2164</v>
      </c>
      <c r="T445" s="1" t="str" cm="1">
        <f t="array" ref="T445">_xlfn.LET(_xlpm.cd,INDEX($S:$S,ROW()),IF(_xlpm.cd="","",IFERROR(_xlfn.XLOOKUP(_xlpm.cd,CostData!$U$22:$U$1000,CostData!$W$22:$W$1000,""),"")))</f>
        <v>Conceal Folding Door LB Inner &amp; Outer Aluminium Bracket</v>
      </c>
      <c r="U445" s="1" t="str">
        <f>IF($S445="","",IFERROR(_xlfn.XLOOKUP($S445,CostData!$U$22:$U$1000,CostData!$AA$22:$AA$1000,""),""))</f>
        <v>Pcs</v>
      </c>
      <c r="V445" s="1">
        <f>IF(AND(ISNUMBER(Enginuity!$B$13), Enginuity!$B$13&gt;0), Enginuity!$B$13*4, "")</f>
        <v>16</v>
      </c>
      <c r="W445" s="421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>
      <c r="A446" s="272" t="s">
        <v>2444</v>
      </c>
      <c r="C446" s="367" t="s">
        <v>2110</v>
      </c>
      <c r="F446" s="367" t="s">
        <v>2456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" t="str">
        <f t="shared" si="32"/>
        <v>3.5" x 2 Black Tape</v>
      </c>
      <c r="S446" s="24" t="s">
        <v>1895</v>
      </c>
      <c r="T446" s="1" t="str" cm="1">
        <f t="array" ref="T446">_xlfn.LET(_xlpm.cd,INDEX($S:$S,ROW()),IF(_xlpm.cd="","",IFERROR(_xlfn.XLOOKUP(_xlpm.cd,CostData!$U$22:$U$1000,CostData!$W$22:$W$1000,""),"")))</f>
        <v>3.5" x 2 Black Tape</v>
      </c>
      <c r="U446" s="1" t="str">
        <f>IF($S446="","",IFERROR(_xlfn.XLOOKUP($S446,CostData!$U$22:$U$1000,CostData!$AA$22:$AA$1000,""),""))</f>
        <v>Ft</v>
      </c>
      <c r="V44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W446" s="421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>
      <c r="A447" s="272" t="s">
        <v>2444</v>
      </c>
      <c r="C447" s="367" t="s">
        <v>2110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Silicone</v>
      </c>
      <c r="R447" s="1" t="str">
        <f t="shared" si="32"/>
        <v>VT210 Neutral Sealant Clear/WH/Grey 300ML</v>
      </c>
      <c r="S447" s="24" t="s">
        <v>1974</v>
      </c>
      <c r="T447" s="1" t="str" cm="1">
        <f t="array" ref="T447">_xlfn.LET(_xlpm.cd,INDEX($S:$S,ROW()),IF(_xlpm.cd="","",IFERROR(_xlfn.XLOOKUP(_xlpm.cd,CostData!$U$22:$U$1000,CostData!$W$22:$W$1000,""),"")))</f>
        <v>VT210 Neutral Sealant Clear/WH/Grey 300ML</v>
      </c>
      <c r="U447" s="1" t="str">
        <f>IF($S447="","",IFERROR(_xlfn.XLOOKUP($S447,CostData!$U$22:$U$1000,CostData!$AA$22:$AA$1000,""),""))</f>
        <v>ML</v>
      </c>
      <c r="V447" s="1">
        <f>_xlfn.LET(
_xlpm.o,N($V$91),
_xlpm.runFT,_xlpm.o*2,
_xlpm.ml,_xlpm.runFT*12.192,
IF(_xlpm.ml=0,"",ROUNDUP(_xlpm.ml,0))
)</f>
        <v>781</v>
      </c>
      <c r="W447" s="421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>
      <c r="A448" s="272" t="s">
        <v>2444</v>
      </c>
      <c r="C448" s="367" t="s">
        <v>2110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Weather Strip</v>
      </c>
      <c r="R448" s="1" t="str">
        <f t="shared" si="32"/>
        <v>5X7 VSP Weather Strip</v>
      </c>
      <c r="S448" s="24" t="s">
        <v>1915</v>
      </c>
      <c r="T448" s="1" t="str" cm="1">
        <f t="array" ref="T448">_xlfn.LET(_xlpm.cd,INDEX($S:$S,ROW()),IF(_xlpm.cd="","",IFERROR(_xlfn.XLOOKUP(_xlpm.cd,CostData!$U$22:$U$1000,CostData!$W$22:$W$1000,""),"")))</f>
        <v>5X7 VSP Weather Strip</v>
      </c>
      <c r="U448" s="1" t="str">
        <f>IF($S448="","",IFERROR(_xlfn.XLOOKUP($S448,CostData!$U$22:$U$1000,CostData!$AA$22:$AA$1000,""),""))</f>
        <v>Ft</v>
      </c>
      <c r="V448" s="1">
        <f>IF(AND(Enginuity!$B$6&gt;0, Enginuity!$B$7&gt;0), ROUND(((Enginuity!$B$6 + Enginuity!$B$7) * 2), 2), "")</f>
        <v>32</v>
      </c>
      <c r="W448" s="421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>
      <c r="A449" s="272" t="s">
        <v>2444</v>
      </c>
      <c r="C449" s="367" t="s">
        <v>2110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" t="s">
        <v>2141</v>
      </c>
      <c r="S449" s="24">
        <v>2152</v>
      </c>
      <c r="T449" s="1" t="str" cm="1">
        <f t="array" ref="T449">_xlfn.LET(_xlpm.cd,INDEX($S:$S,ROW()),IF(_xlpm.cd="","",IFERROR(_xlfn.XLOOKUP(_xlpm.cd,CostData!$U$22:$U$1000,CostData!$W$22:$W$1000,""),"")))</f>
        <v>2152 Gasket</v>
      </c>
      <c r="U449" s="1" t="str">
        <f>IF($S449="","",IFERROR(_xlfn.XLOOKUP($S449,CostData!$U$22:$U$1000,CostData!$AA$22:$AA$1000,""),""))</f>
        <v>Ft</v>
      </c>
      <c r="V449" s="1">
        <f>IF(AND(Enginuity!$B$6&gt;0, Enginuity!$B$7&gt;0, Enginuity!$B$13&gt;0), (2 * Enginuity!$B$7 * Enginuity!$B$13) + (2 * Enginuity!$B$6), "")</f>
        <v>80</v>
      </c>
      <c r="W449" s="421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>
      <c r="A450" s="272" t="s">
        <v>2444</v>
      </c>
      <c r="C450" s="367" t="s">
        <v>2110</v>
      </c>
      <c r="P450" s="1" t="str" cm="1">
        <f t="array" ref="P4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0" s="1" t="str">
        <f>IF($S450="","",IFERROR(_xlfn.XLOOKUP($S450,CostData!$U$22:$U$1000,CostData!$T$22:$T$1000,""),""))</f>
        <v>Gasket</v>
      </c>
      <c r="R450" s="1" t="s">
        <v>1923</v>
      </c>
      <c r="S450" s="24">
        <v>6154</v>
      </c>
      <c r="T450" s="1" t="str" cm="1">
        <f t="array" ref="T450">_xlfn.LET(_xlpm.cd,INDEX($S:$S,ROW()),IF(_xlpm.cd="","",IFERROR(_xlfn.XLOOKUP(_xlpm.cd,CostData!$U$22:$U$1000,CostData!$W$22:$W$1000,""),"")))</f>
        <v>6154 Gasket</v>
      </c>
      <c r="U450" s="1" t="str">
        <f>IF($S450="","",IFERROR(_xlfn.XLOOKUP($S450,CostData!$U$22:$U$1000,CostData!$AA$22:$AA$1000,""),""))</f>
        <v>Ft</v>
      </c>
      <c r="V450" s="1">
        <f>IF(SUM($V$393:$V$394)=0,"",SUM($V$393:$V$394)*2)</f>
        <v>48</v>
      </c>
      <c r="W450" s="421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>
      <c r="A451" s="412" t="s">
        <v>2444</v>
      </c>
      <c r="B451" s="408" t="s">
        <v>1840</v>
      </c>
      <c r="C451" s="408" t="s">
        <v>89</v>
      </c>
      <c r="D451" s="408" t="s">
        <v>1791</v>
      </c>
      <c r="E451" s="408" t="str" cm="1">
        <f t="array" ref="E451:E460">IFERROR(INDEX(_xlfn._xlws.FILTER(CostData!$P$3:$P$12,CostData!$P$3:$P$12&lt;&gt;""),_xlfn.SEQUENCE(10)),"")</f>
        <v>Default</v>
      </c>
      <c r="F451" s="408" t="str">
        <f>"▼ [Product Subtype]"</f>
        <v>▼ [Product Subtype]</v>
      </c>
      <c r="G451" s="408"/>
      <c r="H451" s="408"/>
      <c r="I451" s="408"/>
      <c r="J451" s="408"/>
      <c r="K451" s="408"/>
      <c r="L451" s="408"/>
      <c r="M451" s="413">
        <v>0.47895554108750998</v>
      </c>
      <c r="N451" s="408">
        <v>762</v>
      </c>
      <c r="O451" s="408"/>
      <c r="P451" s="404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>451</v>
      </c>
      <c r="Q451" s="404" t="str" cm="1">
        <f t="array" ref="Q451">_xlfn.LET(_xlpm.cd,INDEX($S:$S,ROW()),IF(_xlpm.cd="","",IFERROR(_xlfn.XLOOKUP(_xlpm.cd,CostData!$C$22:$C$1000,CostData!$B$22:$B$1000,""),"")))</f>
        <v>Aluminium</v>
      </c>
      <c r="R451" s="404" t="str">
        <f>T451</f>
        <v>Outer Top</v>
      </c>
      <c r="S451" s="410" t="s">
        <v>2089</v>
      </c>
      <c r="T451" s="404" t="str" cm="1">
        <f t="array" ref="T451">_xlfn.LET(_xlpm.cd,INDEX($S:$S,ROW()),IF(_xlpm.cd="","",IFERROR(_xlfn.XLOOKUP(_xlpm.cd,CostData!$C$22:$C$1000,CostData!$E$22:$E$1000,""),"")))</f>
        <v>Outer Top</v>
      </c>
      <c r="U451" s="404" t="s">
        <v>103</v>
      </c>
      <c r="V451" s="404">
        <f>IF(Enginuity!$B$6="","",Enginuity!$B$6)</f>
        <v>8</v>
      </c>
      <c r="W451" s="423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14.99</v>
      </c>
    </row>
    <row r="452" spans="1:23">
      <c r="A452" s="272" t="s">
        <v>2444</v>
      </c>
      <c r="B452" s="367" t="s">
        <v>1842</v>
      </c>
      <c r="C452" s="367" t="s">
        <v>89</v>
      </c>
      <c r="D452" s="367" t="s">
        <v>1813</v>
      </c>
      <c r="E452" s="367" t="str">
        <v>Black Aluminium Mesh 1.6mm</v>
      </c>
      <c r="P452" s="1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>452</v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" t="str">
        <f t="shared" ref="R452" si="33">T452</f>
        <v>Outer Stand</v>
      </c>
      <c r="S452" s="24" t="s">
        <v>2090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16</v>
      </c>
      <c r="W452" s="421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7.96</v>
      </c>
    </row>
    <row r="453" spans="1:23">
      <c r="A453" s="272" t="s">
        <v>2444</v>
      </c>
      <c r="B453" s="367" t="s">
        <v>382</v>
      </c>
      <c r="C453" s="367" t="s">
        <v>89</v>
      </c>
      <c r="D453" s="367" t="s">
        <v>1792</v>
      </c>
      <c r="E453" s="367" t="str">
        <v>Black Aluminium Mesh 1.8mm</v>
      </c>
      <c r="P453" s="1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>453</v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" t="str">
        <f t="shared" ref="R453:R457" si="34">T453</f>
        <v>Bottom U Box</v>
      </c>
      <c r="S453" s="24" t="s">
        <v>2092</v>
      </c>
      <c r="T453" s="1" t="str" cm="1">
        <f t="array" ref="T453">_xlfn.LET(_xlpm.cd,INDEX($S:$S,ROW()),IF(_xlpm.cd="","",IFERROR(_xlfn.XLOOKUP(_xlpm.cd,CostData!$C$22:$C$1000,CostData!$E$22:$E$1000,""),"")))</f>
        <v>Bottom U Box</v>
      </c>
      <c r="U453" s="1" t="s">
        <v>103</v>
      </c>
      <c r="V453" s="1">
        <f>IF(Enginuity!$B$6="","",Enginuity!$B$6)</f>
        <v>8</v>
      </c>
      <c r="W453" s="421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</v>
      </c>
    </row>
    <row r="454" spans="1:23">
      <c r="A454" s="272" t="s">
        <v>2444</v>
      </c>
      <c r="B454" s="367" t="s">
        <v>1841</v>
      </c>
      <c r="C454" s="367" t="s">
        <v>89</v>
      </c>
      <c r="D454" s="367" t="s">
        <v>1814</v>
      </c>
      <c r="E454" s="367" t="str">
        <v>Black Stainless Steel Mesh 1.0mm</v>
      </c>
      <c r="P454" s="1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>454</v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" t="str">
        <f t="shared" si="34"/>
        <v>Inner Beading</v>
      </c>
      <c r="S454" s="24" t="s">
        <v>2094</v>
      </c>
      <c r="T454" s="1" t="str" cm="1">
        <f t="array" ref="T454">_xlfn.LET(_xlpm.cd,INDEX($S:$S,ROW()),IF(_xlpm.cd="","",IFERROR(_xlfn.XLOOKUP(_xlpm.cd,CostData!$C$22:$C$1000,CostData!$E$22:$E$1000,""),"")))</f>
        <v>Inner Beading</v>
      </c>
      <c r="U454" s="1" t="s">
        <v>103</v>
      </c>
      <c r="V454" s="1">
        <f>IF(OR(Enginuity!$B$7="",Enginuity!$B$6="",Enginuity!$B$13=""),"",((Enginuity!$B$13*2)*Enginuity!$B$7)+(Enginuity!$B$6*2))</f>
        <v>80</v>
      </c>
      <c r="W454" s="421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1.29</v>
      </c>
    </row>
    <row r="455" spans="1:23">
      <c r="A455" s="272" t="s">
        <v>2444</v>
      </c>
      <c r="C455" s="367" t="s">
        <v>89</v>
      </c>
      <c r="E455" s="367" t="str">
        <v/>
      </c>
      <c r="P455" s="1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>455</v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" t="str">
        <f t="shared" si="34"/>
        <v>Inner</v>
      </c>
      <c r="S455" s="24" t="s">
        <v>2095</v>
      </c>
      <c r="T455" s="1" t="str" cm="1">
        <f t="array" ref="T455">_xlfn.LET(_xlpm.cd,INDEX($S:$S,ROW()),IF(_xlpm.cd="","",IFERROR(_xlfn.XLOOKUP(_xlpm.cd,CostData!$C$22:$C$1000,CostData!$E$22:$E$1000,""),"")))</f>
        <v>Inner</v>
      </c>
      <c r="U455" s="1" t="s">
        <v>103</v>
      </c>
      <c r="V455" s="1">
        <f>IF(OR(Enginuity!$B$7="",Enginuity!$B$6="",Enginuity!$B$13=""),"",((Enginuity!$B$13*2)*Enginuity!$B$7)+(Enginuity!$B$6*2))</f>
        <v>80</v>
      </c>
      <c r="W455" s="421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10.11</v>
      </c>
    </row>
    <row r="456" spans="1:23">
      <c r="A456" s="272" t="s">
        <v>2444</v>
      </c>
      <c r="C456" s="367" t="s">
        <v>89</v>
      </c>
      <c r="E456" s="367" t="str">
        <v/>
      </c>
      <c r="P456" s="1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>456</v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" t="str">
        <f t="shared" si="34"/>
        <v>Centre Clip</v>
      </c>
      <c r="S456" s="24" t="s">
        <v>2096</v>
      </c>
      <c r="T456" s="1" t="str" cm="1">
        <f t="array" ref="T456">_xlfn.LET(_xlpm.cd,INDEX($S:$S,ROW()),IF(_xlpm.cd="","",IFERROR(_xlfn.XLOOKUP(_xlpm.cd,CostData!$C$22:$C$1000,CostData!$E$22:$E$1000,""),"")))</f>
        <v>Centre Clip</v>
      </c>
      <c r="U456" s="1" t="s">
        <v>103</v>
      </c>
      <c r="V456" s="1">
        <f>IF(Enginuity!$B$7="","",Enginuity!$B$7*2)</f>
        <v>16</v>
      </c>
      <c r="W456" s="421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3.31</v>
      </c>
    </row>
    <row r="457" spans="1:23">
      <c r="A457" s="272" t="s">
        <v>2444</v>
      </c>
      <c r="C457" s="367" t="s">
        <v>89</v>
      </c>
      <c r="E457" s="367" t="str">
        <v/>
      </c>
      <c r="P457" s="1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>457</v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" t="str">
        <f t="shared" si="34"/>
        <v>Lock Bar</v>
      </c>
      <c r="S457" s="417" t="s">
        <v>2107</v>
      </c>
      <c r="T457" s="1" t="str" cm="1">
        <f t="array" ref="T457">_xlfn.LET(_xlpm.cd,INDEX($S:$S,ROW()),IF(_xlpm.cd="","",IFERROR(_xlfn.XLOOKUP(_xlpm.cd,CostData!$C$22:$C$1000,CostData!$E$22:$E$1000,""),"")))</f>
        <v>Lock Bar</v>
      </c>
      <c r="U457" s="1" t="s">
        <v>103</v>
      </c>
      <c r="V457" s="1">
        <f>IF(OR(Enginuity!$B$7="",Enginuity!$B$13=""),"",Enginuity!$B$13*Enginuity!$B$7)</f>
        <v>32</v>
      </c>
      <c r="W457" s="421" cm="1">
        <f t="array" ref="W4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1.19</v>
      </c>
    </row>
    <row r="458" spans="1:23">
      <c r="A458" s="272" t="s">
        <v>2444</v>
      </c>
      <c r="C458" s="367" t="s">
        <v>89</v>
      </c>
      <c r="E458" s="367" t="str">
        <v/>
      </c>
      <c r="P458" s="1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>458</v>
      </c>
      <c r="Q458" s="1" t="str">
        <f>"Insert"</f>
        <v>Insert</v>
      </c>
      <c r="R458" s="9" t="str">
        <f>S458</f>
        <v>Breezway 102mm Glass Infill</v>
      </c>
      <c r="S458" s="417" t="str">
        <f>Enginuity!$A$21</f>
        <v>Breezway 102mm Glass Infill</v>
      </c>
      <c r="T458" s="9" t="str">
        <f>S458</f>
        <v>Breezway 102mm Glass Infill</v>
      </c>
      <c r="U458" s="1" t="s">
        <v>176</v>
      </c>
      <c r="V458" s="1" cm="1">
        <f t="array" ref="V458">_xlfn.LET(_xlpm.vSel,TRIM(SUBSTITUTE(Enginuity!$A$21,CHAR(160)," ")),_xlpm.vCode,TRIM(SUBSTITUTE(INDEX(S:S,ROW()),CHAR(160)," ")),IF(AND(_xlpm.vSel&lt;&gt;"",_xlpm.vCode&lt;&gt;"",_xlpm.vSel=_xlpm.vCode),1,""))</f>
        <v>1</v>
      </c>
      <c r="W458" s="421" cm="1">
        <f t="array" ref="W458">IFERROR(_xlfn.LET(_xlpm.sel,TRIM(SUBSTITUTE(Enginuity!$A$21,CHAR(160)," ")),_xlfn.SWITCH(_xlpm.sel,"08-Box Lattice",$W$14,"12-Box Lattice",$W$15,"24-Box Lattice",$W$16,IF(LEFT(UPPER(_xlpm.sel),8)="BREEZWAY",Breezway!$F$40,""))),"")</f>
        <v>3017.0880000000002</v>
      </c>
    </row>
    <row r="459" spans="1:23">
      <c r="A459" s="272" t="s">
        <v>2444</v>
      </c>
      <c r="C459" s="367" t="s">
        <v>89</v>
      </c>
      <c r="E459" s="367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421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>
      <c r="A460" s="272" t="s">
        <v>2444</v>
      </c>
      <c r="C460" s="367" t="s">
        <v>89</v>
      </c>
      <c r="E460" s="367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421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>
      <c r="A461" s="272" t="s">
        <v>2444</v>
      </c>
      <c r="C461" s="367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421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>
      <c r="A462" s="272" t="s">
        <v>2444</v>
      </c>
      <c r="C462" s="367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421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>
      <c r="A463" s="272" t="s">
        <v>2444</v>
      </c>
      <c r="C463" s="367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421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>
      <c r="A464" s="272" t="s">
        <v>2444</v>
      </c>
      <c r="C464" s="367" t="s">
        <v>89</v>
      </c>
      <c r="P464" s="1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>464</v>
      </c>
      <c r="Q464" s="1" t="str">
        <f>"Insert"</f>
        <v>Insert</v>
      </c>
      <c r="R464" s="9" t="str">
        <f>S464</f>
        <v>Breezway 102mm Glass Infill</v>
      </c>
      <c r="S464" s="417" t="str">
        <f>Enginuity!$A$21</f>
        <v>Breezway 102mm Glass Infill</v>
      </c>
      <c r="T464" s="9" t="str">
        <f>S464</f>
        <v>Breezway 102mm Glass Infill</v>
      </c>
      <c r="U464" s="1" t="s">
        <v>176</v>
      </c>
      <c r="V464" s="1" cm="1">
        <f t="array" ref="V464">_xlfn.LET(_xlpm.vSel,TRIM(SUBSTITUTE(Enginuity!$A$21,CHAR(160)," ")),_xlpm.vCode,TRIM(SUBSTITUTE(INDEX(S:S,ROW()),CHAR(160)," ")),IF(AND(_xlpm.vSel&lt;&gt;"",_xlpm.vCode&lt;&gt;"",_xlpm.vSel=_xlpm.vCode),1,""))</f>
        <v>1</v>
      </c>
      <c r="W464" s="421" cm="1">
        <f t="array" ref="W464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465" spans="1:23">
      <c r="A465" s="272" t="s">
        <v>2444</v>
      </c>
      <c r="C465" s="367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65" s="1" t="str">
        <f>IF($T465="","","⬒ "&amp;$T465)</f>
        <v>⬒ Default</v>
      </c>
      <c r="S465" s="24" t="s">
        <v>1828</v>
      </c>
      <c r="T465" s="1" t="str" cm="1">
        <f t="array" ref="T465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65" s="1" t="str" cm="1">
        <f t="array" ref="U465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65" s="1" t="str">
        <f>IF(LEFT(UPPER(TRIM(SUBSTITUTE(Enginuity!$A$21,CHAR(160)," "))),8)="BREEZWAY","",IF(Enginuity!$B$9="","",Enginuity!$B$9))</f>
        <v/>
      </c>
      <c r="W465" s="421" cm="1">
        <f t="array" ref="W465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66" spans="1:23">
      <c r="A466" s="272" t="s">
        <v>2444</v>
      </c>
      <c r="C466" s="367" t="s">
        <v>89</v>
      </c>
      <c r="F466" s="367" t="str">
        <f>"▼ [Insert]"</f>
        <v>▼ [Insert]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66" s="421"/>
    </row>
    <row r="467" spans="1:23">
      <c r="A467" s="272" t="s">
        <v>2444</v>
      </c>
      <c r="C467" s="367" t="s">
        <v>89</v>
      </c>
      <c r="F467" s="367" t="s">
        <v>2079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" t="str">
        <f t="shared" ref="R467:R472" si="35">T467</f>
        <v>ML1616 Black Set</v>
      </c>
      <c r="S467" s="24" t="s">
        <v>2127</v>
      </c>
      <c r="T467" s="1" t="str" cm="1">
        <f t="array" ref="T467">_xlfn.LET(_xlpm.cd,INDEX($S:$S,ROW()),IF(_xlpm.cd="","",IFERROR(_xlfn.XLOOKUP(_xlpm.cd,CostData!$U$22:$U$1000,CostData!$W$22:$W$1000,""),"")))</f>
        <v>ML1616 Black Set</v>
      </c>
      <c r="U467" s="1" t="s">
        <v>176</v>
      </c>
      <c r="V467" s="1">
        <f>IF(MOD(Enginuity!$B$13,2)=1,1,0)</f>
        <v>0</v>
      </c>
      <c r="W467" s="421" cm="1">
        <f t="array" ref="W4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135</v>
      </c>
    </row>
    <row r="468" spans="1:23">
      <c r="A468" s="272" t="s">
        <v>2444</v>
      </c>
      <c r="C468" s="367" t="s">
        <v>89</v>
      </c>
      <c r="F468" s="367" t="s">
        <v>2080</v>
      </c>
      <c r="P468" s="1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>468</v>
      </c>
      <c r="Q468" s="1" t="str">
        <f>IF($S468="","",IFERROR(_xlfn.XLOOKUP($S468,CostData!$U$22:$U$1000,CostData!$T$22:$T$1000,""),""))</f>
        <v>Lock</v>
      </c>
      <c r="R468" s="1" t="str">
        <f t="shared" si="35"/>
        <v>MSW-8112 TC78 Matt Black Latch Bolt</v>
      </c>
      <c r="S468" s="24" t="s">
        <v>2125</v>
      </c>
      <c r="T468" s="1" t="str" cm="1">
        <f t="array" ref="T468">_xlfn.LET(_xlpm.cd,INDEX($S:$S,ROW()),IF(_xlpm.cd="","",IFERROR(_xlfn.XLOOKUP(_xlpm.cd,CostData!$U$22:$U$1000,CostData!$W$22:$W$1000,""),"")))</f>
        <v>MSW-8112 TC78 Matt Black Latch Bolt</v>
      </c>
      <c r="U468" s="1" t="s">
        <v>111</v>
      </c>
      <c r="V468" s="1">
        <f>(FLOOR(Enginuity!$B$13/2,1)*2)+IF(MOD(Enginuity!$B$13,2)=1,2,0)</f>
        <v>4</v>
      </c>
      <c r="W468" s="421" cm="1">
        <f t="array" ref="W4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12</v>
      </c>
    </row>
    <row r="469" spans="1:23">
      <c r="A469" s="272" t="s">
        <v>2444</v>
      </c>
      <c r="C469" s="367" t="s">
        <v>89</v>
      </c>
      <c r="F469" s="367" t="s">
        <v>2081</v>
      </c>
      <c r="P469" s="1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>469</v>
      </c>
      <c r="Q469" s="1" t="str">
        <f>IF($S469="","",IFERROR(_xlfn.XLOOKUP($S469,CostData!$U$22:$U$1000,CostData!$T$22:$T$1000,""),""))</f>
        <v>Roller</v>
      </c>
      <c r="R469" s="1" t="str">
        <f t="shared" si="35"/>
        <v>84TR Top Roller 4 Nylon Wheels Black</v>
      </c>
      <c r="S469" s="24" t="s">
        <v>2123</v>
      </c>
      <c r="T469" s="1" t="str" cm="1">
        <f t="array" ref="T469">_xlfn.LET(_xlpm.cd,INDEX($S:$S,ROW()),IF(_xlpm.cd="","",IFERROR(_xlfn.XLOOKUP(_xlpm.cd,CostData!$U$22:$U$1000,CostData!$W$22:$W$1000,""),"")))</f>
        <v>84TR Top Roller 4 Nylon Wheels Black</v>
      </c>
      <c r="U469" s="1" t="s">
        <v>112</v>
      </c>
      <c r="V469" s="1">
        <f>FLOOR(Enginuity!$B$13/2,1)</f>
        <v>2</v>
      </c>
      <c r="W469" s="421" cm="1">
        <f t="array" ref="W4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55</v>
      </c>
    </row>
    <row r="470" spans="1:23">
      <c r="A470" s="272" t="s">
        <v>2444</v>
      </c>
      <c r="C470" s="367" t="s">
        <v>89</v>
      </c>
      <c r="F470" s="367" t="s">
        <v>2426</v>
      </c>
      <c r="P470" s="1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>470</v>
      </c>
      <c r="Q470" s="1" t="str">
        <f>IF($S470="","",IFERROR(_xlfn.XLOOKUP($S470,CostData!$U$22:$U$1000,CostData!$T$22:$T$1000,""),""))</f>
        <v>Guide</v>
      </c>
      <c r="R470" s="1" t="str">
        <f t="shared" si="35"/>
        <v>88BG(R) Bottom Guide Exposed Black</v>
      </c>
      <c r="S470" s="24" t="s">
        <v>2142</v>
      </c>
      <c r="T470" s="1" t="str" cm="1">
        <f t="array" ref="T470">_xlfn.LET(_xlpm.cd,INDEX($S:$S,ROW()),IF(_xlpm.cd="","",IFERROR(_xlfn.XLOOKUP(_xlpm.cd,CostData!$U$22:$U$1000,CostData!$W$22:$W$1000,""),"")))</f>
        <v>88BG(R) Bottom Guide Exposed Black</v>
      </c>
      <c r="U470" s="1" t="s">
        <v>112</v>
      </c>
      <c r="V470" s="1">
        <f>FLOOR(Enginuity!$B$13/2,1)</f>
        <v>2</v>
      </c>
      <c r="W470" s="421" cm="1">
        <f t="array" ref="W4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28</v>
      </c>
    </row>
    <row r="471" spans="1:23">
      <c r="A471" s="272" t="s">
        <v>2444</v>
      </c>
      <c r="C471" s="367" t="s">
        <v>89</v>
      </c>
      <c r="F471" s="367" t="s">
        <v>2427</v>
      </c>
      <c r="P471" s="1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>471</v>
      </c>
      <c r="Q471" s="1" t="str">
        <f>IF($S471="","",IFERROR(_xlfn.XLOOKUP($S471,CostData!$U$22:$U$1000,CostData!$T$22:$T$1000,""),""))</f>
        <v>Handle</v>
      </c>
      <c r="R471" s="1" t="str">
        <f t="shared" si="35"/>
        <v>T28 Black Collapsible Door Handle</v>
      </c>
      <c r="S471" s="24" t="s">
        <v>2119</v>
      </c>
      <c r="T471" s="1" t="str" cm="1">
        <f t="array" ref="T471">_xlfn.LET(_xlpm.cd,INDEX($S:$S,ROW()),IF(_xlpm.cd="","",IFERROR(_xlfn.XLOOKUP(_xlpm.cd,CostData!$U$22:$U$1000,CostData!$W$22:$W$1000,""),"")))</f>
        <v>T28 Black Collapsible Door Handle</v>
      </c>
      <c r="U471" s="1" t="s">
        <v>112</v>
      </c>
      <c r="V471" s="1">
        <f>FLOOR(Enginuity!$B$13/2,1)</f>
        <v>2</v>
      </c>
      <c r="W471" s="421" cm="1">
        <f t="array" ref="W471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13</v>
      </c>
    </row>
    <row r="472" spans="1:23">
      <c r="A472" s="272" t="s">
        <v>2444</v>
      </c>
      <c r="C472" s="367" t="s">
        <v>89</v>
      </c>
      <c r="F472" s="367" t="s">
        <v>2428</v>
      </c>
      <c r="P472" s="1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>472</v>
      </c>
      <c r="Q472" s="1" t="str">
        <f>IF($S472="","",IFERROR(_xlfn.XLOOKUP($S472,CostData!$U$22:$U$1000,CostData!$T$22:$T$1000,""),""))</f>
        <v>Lock</v>
      </c>
      <c r="R472" s="1" t="str">
        <f t="shared" si="35"/>
        <v>T29 Folding Door Acc Lockcase Black</v>
      </c>
      <c r="S472" s="24" t="s">
        <v>2121</v>
      </c>
      <c r="T472" s="1" t="str" cm="1">
        <f t="array" ref="T472">_xlfn.LET(_xlpm.cd,INDEX($S:$S,ROW()),IF(_xlpm.cd="","",IFERROR(_xlfn.XLOOKUP(_xlpm.cd,CostData!$U$22:$U$1000,CostData!$W$22:$W$1000,""),"")))</f>
        <v>T29 Folding Door Acc Lockcase Black</v>
      </c>
      <c r="U472" s="1" t="s">
        <v>112</v>
      </c>
      <c r="V472" s="1">
        <f>FLOOR(Enginuity!$B$13/2,1)</f>
        <v>2</v>
      </c>
      <c r="W472" s="421" cm="1">
        <f t="array" ref="W47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13</v>
      </c>
    </row>
    <row r="473" spans="1:23">
      <c r="A473" s="272" t="s">
        <v>2444</v>
      </c>
      <c r="C473" s="367" t="s">
        <v>89</v>
      </c>
      <c r="F473" s="367" t="s">
        <v>2429</v>
      </c>
      <c r="P473" s="1" cm="1">
        <f t="array" ref="P473">_xlfn.LET(_xlpm.A,INDEX($A:$A,ROW()),_xlpm.C,INDEX($C:$C,ROW()),_xlpm.v,INDEX($V:$V,ROW()),_xlpm.w,INDEX($W:$W,ROW()),IF(OR(TRIM(_xlpm.A)&lt;&gt;TRIM(Enginuity!$A$1),TRIM(_xlpm.C)&lt;&gt;TRIM(Enginuity!$A$18),_xlpm.v="",_xlpm.v=0,_xlpm.w=""),"",ROW()))</f>
        <v>473</v>
      </c>
      <c r="Q473" s="1" t="str">
        <f>IF($S473="","",IFERROR(_xlfn.XLOOKUP($S473,CostData!$U$22:$U$1000,CostData!$T$22:$T$1000,""),""))</f>
        <v>Hinge</v>
      </c>
      <c r="R473" s="1" t="str">
        <f>Q473</f>
        <v>Hinge</v>
      </c>
      <c r="S473" s="24" t="s">
        <v>2117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U473" s="1" t="s">
        <v>112</v>
      </c>
      <c r="V473" s="1">
        <f>(Enginuity!$B$13*
  IF(Enginuity!$B$7&lt;=7,3,
  IF(Enginuity!$B$7&lt;=9,4,
  IF(Enginuity!$B$7&lt;=11,5,6))))
  - (2*FLOOR((Enginuity!$B$13-1)/2,1))</f>
        <v>14</v>
      </c>
      <c r="W473" s="421" cm="1">
        <f t="array" ref="W4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14</v>
      </c>
    </row>
    <row r="474" spans="1:23">
      <c r="A474" s="272" t="s">
        <v>2444</v>
      </c>
      <c r="C474" s="367" t="s">
        <v>89</v>
      </c>
      <c r="F474" s="367" t="s">
        <v>2430</v>
      </c>
      <c r="P474" s="1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>474</v>
      </c>
      <c r="Q474" s="1" t="str">
        <f>IF($S474="","",IFERROR(_xlfn.XLOOKUP($S474,CostData!$U$22:$U$1000,CostData!$T$22:$T$1000,""),""))</f>
        <v>Lock</v>
      </c>
      <c r="R474" s="1" t="str">
        <f>T474</f>
        <v>ET-78 Black Latch Bolt Exposed Track F-99C Square Escutcheon</v>
      </c>
      <c r="S474" s="24" t="s">
        <v>2129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(FLOOR(Enginuity!$B$13/2,1)*2)+IF(MOD(Enginuity!$B$13,2)=1,2,0)</f>
        <v>4</v>
      </c>
      <c r="W474" s="421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7.8</v>
      </c>
    </row>
    <row r="475" spans="1:23">
      <c r="A475" s="272" t="s">
        <v>2444</v>
      </c>
      <c r="C475" s="367" t="s">
        <v>89</v>
      </c>
      <c r="F475" s="367" t="s">
        <v>2431</v>
      </c>
      <c r="P475" s="1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>475</v>
      </c>
      <c r="Q475" s="1" t="str">
        <f>IF($S475="","",IFERROR(_xlfn.XLOOKUP($S475,CostData!$U$22:$U$1000,CostData!$T$22:$T$1000,""),""))</f>
        <v>Bracket</v>
      </c>
      <c r="R475" s="1" t="str">
        <f t="shared" ref="R475:R478" si="36">T475</f>
        <v>911C Bracket 37.5mm LB Inner &amp; Outer Aluminium Bracket</v>
      </c>
      <c r="S475" s="24" t="s">
        <v>2132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IF(AND(ISNUMBER(Enginuity!$B$13), Enginuity!$B$13&gt;0), Enginuity!$B$13*4, "")</f>
        <v>16</v>
      </c>
      <c r="W475" s="421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1.1000000000000001</v>
      </c>
    </row>
    <row r="476" spans="1:23">
      <c r="A476" s="272" t="s">
        <v>2444</v>
      </c>
      <c r="C476" s="367" t="s">
        <v>89</v>
      </c>
      <c r="F476" s="367" t="s">
        <v>2456</v>
      </c>
      <c r="P476" s="1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476</v>
      </c>
      <c r="Q476" s="1" t="str">
        <f>IF($S476="","",IFERROR(_xlfn.XLOOKUP($S476,CostData!$U$22:$U$1000,CostData!$T$22:$T$1000,""),""))</f>
        <v>Black Tape</v>
      </c>
      <c r="R476" s="1" t="str">
        <f t="shared" si="36"/>
        <v>3.5" x 2 Black Tape</v>
      </c>
      <c r="S476" s="24" t="s">
        <v>1895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W476" s="421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0.27999943104001823</v>
      </c>
    </row>
    <row r="477" spans="1:23">
      <c r="A477" s="272" t="s">
        <v>2444</v>
      </c>
      <c r="C477" s="367" t="s">
        <v>89</v>
      </c>
      <c r="P477" s="1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>477</v>
      </c>
      <c r="Q477" s="1" t="str">
        <f>IF($S477="","",IFERROR(_xlfn.XLOOKUP($S477,CostData!$U$22:$U$1000,CostData!$T$22:$T$1000,""),""))</f>
        <v>Silicone</v>
      </c>
      <c r="R477" s="1" t="str">
        <f t="shared" si="36"/>
        <v>VT210 Neutral Sealant Clear/WH/Grey 300ML</v>
      </c>
      <c r="S477" s="24" t="s">
        <v>1974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781</v>
      </c>
      <c r="W477" s="421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478" spans="1:23">
      <c r="A478" s="272" t="s">
        <v>2444</v>
      </c>
      <c r="C478" s="367" t="s">
        <v>89</v>
      </c>
      <c r="P478" s="1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>478</v>
      </c>
      <c r="Q478" s="1" t="str">
        <f>IF($S478="","",IFERROR(_xlfn.XLOOKUP($S478,CostData!$U$22:$U$1000,CostData!$T$22:$T$1000,""),""))</f>
        <v>Weather Strip</v>
      </c>
      <c r="R478" s="1" t="str">
        <f t="shared" si="36"/>
        <v>5X7 VSP Weather Strip</v>
      </c>
      <c r="S478" s="24" t="s">
        <v>1915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IF(AND(Enginuity!$B$6&gt;0, Enginuity!$B$7&gt;0), ROUND(((Enginuity!$B$6 + Enginuity!$B$7) * 2), 2), "")</f>
        <v>32</v>
      </c>
      <c r="W478" s="421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0.10286999670816011</v>
      </c>
    </row>
    <row r="479" spans="1:23">
      <c r="A479" s="272" t="s">
        <v>2444</v>
      </c>
      <c r="C479" s="367" t="s">
        <v>89</v>
      </c>
      <c r="P479" s="1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>479</v>
      </c>
      <c r="Q479" s="1" t="str">
        <f>IF($S479="","",IFERROR(_xlfn.XLOOKUP($S479,CostData!$U$22:$U$1000,CostData!$T$22:$T$1000,""),""))</f>
        <v>Gasket</v>
      </c>
      <c r="R479" s="1" t="s">
        <v>2141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IF(AND(Enginuity!$B$6&gt;0, Enginuity!$B$7&gt;0, Enginuity!$B$13&gt;0), (2 * Enginuity!$B$7 * Enginuity!$B$13) + (2 * Enginuity!$B$6), "")</f>
        <v>80</v>
      </c>
      <c r="W479" s="421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9.5623526351811858E-2</v>
      </c>
    </row>
    <row r="480" spans="1:23">
      <c r="A480" s="406" t="s">
        <v>2444</v>
      </c>
      <c r="B480" s="395"/>
      <c r="C480" s="395" t="s">
        <v>89</v>
      </c>
      <c r="D480" s="395"/>
      <c r="E480" s="395"/>
      <c r="F480" s="395"/>
      <c r="G480" s="395"/>
      <c r="H480" s="395"/>
      <c r="I480" s="395"/>
      <c r="J480" s="395"/>
      <c r="K480" s="395"/>
      <c r="L480" s="395"/>
      <c r="M480" s="395"/>
      <c r="N480" s="395"/>
      <c r="O480" s="395"/>
      <c r="P480" s="396"/>
      <c r="Q480" s="396" t="str">
        <f>IF($S480="","",IFERROR(_xlfn.XLOOKUP($S480,CostData!$U$22:$U$1000,CostData!$T$22:$T$1000,""),""))</f>
        <v>Gasket</v>
      </c>
      <c r="R480" s="396" t="s">
        <v>1923</v>
      </c>
      <c r="S480" s="411">
        <v>6154</v>
      </c>
      <c r="T480" s="396" t="str" cm="1">
        <f t="array" ref="T480">_xlfn.LET(_xlpm.cd,INDEX($S:$S,ROW()),IF(_xlpm.cd="","",IFERROR(_xlfn.XLOOKUP(_xlpm.cd,CostData!$U$22:$U$1000,CostData!$W$22:$W$1000,""),"")))</f>
        <v>6154 Gasket</v>
      </c>
      <c r="U480" s="396" t="str">
        <f>IF($S480="","",IFERROR(_xlfn.XLOOKUP($S480,CostData!$U$22:$U$1000,CostData!$AA$22:$AA$1000,""),""))</f>
        <v>Ft</v>
      </c>
      <c r="V480" s="396">
        <f>IF(SUM($V$393:$V$394)=0,"",SUM($V$393:$V$394)*2)</f>
        <v>48</v>
      </c>
      <c r="W480" s="422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481" spans="1:23">
      <c r="A481" s="272" t="s">
        <v>2444</v>
      </c>
      <c r="B481" s="367" t="s">
        <v>1840</v>
      </c>
      <c r="C481" s="367" t="s">
        <v>95</v>
      </c>
      <c r="D481" s="367" t="s">
        <v>1791</v>
      </c>
      <c r="E481" s="367" t="str" cm="1">
        <f t="array" ref="E481:E490">IFERROR(INDEX(_xlfn._xlws.FILTER(CostData!$P$3:$P$12,CostData!$P$3:$P$12&lt;&gt;""),_xlfn.SEQUENCE(10)),"")</f>
        <v>Default</v>
      </c>
      <c r="F481" s="367" t="str">
        <f>"▼ [Product Subtype]"</f>
        <v>▼ [Product Subtype]</v>
      </c>
      <c r="G481" s="367" t="str">
        <f>"▼ [Fix - Casement]"</f>
        <v>▼ [Fix - Casement]</v>
      </c>
      <c r="H481" s="367" t="str">
        <f>"▼ [Hung Window - Casement]"</f>
        <v>▼ [Hung Window - Casement]</v>
      </c>
      <c r="I481" s="367" t="s">
        <v>1852</v>
      </c>
      <c r="J481" s="367" t="s">
        <v>1853</v>
      </c>
      <c r="K481" s="367" t="s">
        <v>1854</v>
      </c>
      <c r="L481" s="367" t="s">
        <v>1855</v>
      </c>
      <c r="M481" s="405">
        <v>0.52659999999999996</v>
      </c>
      <c r="N481" s="367">
        <v>914.4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" t="s">
        <v>1811</v>
      </c>
      <c r="S481" s="24" t="s">
        <v>1919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W481" s="421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>
      <c r="A482" s="272" t="s">
        <v>2444</v>
      </c>
      <c r="B482" s="367" t="s">
        <v>1842</v>
      </c>
      <c r="C482" s="367" t="s">
        <v>95</v>
      </c>
      <c r="D482" s="367" t="s">
        <v>1813</v>
      </c>
      <c r="E482" s="367" t="str">
        <v>Black Aluminium Mesh 1.6mm</v>
      </c>
      <c r="G482" s="367" t="s">
        <v>1860</v>
      </c>
      <c r="H482" s="367" t="s">
        <v>1860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" t="s">
        <v>1843</v>
      </c>
      <c r="S482" s="24" t="s">
        <v>1920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80</v>
      </c>
      <c r="W482" s="421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>
      <c r="A483" s="272" t="s">
        <v>2444</v>
      </c>
      <c r="B483" s="367" t="s">
        <v>382</v>
      </c>
      <c r="C483" s="367" t="s">
        <v>95</v>
      </c>
      <c r="D483" s="367" t="s">
        <v>1792</v>
      </c>
      <c r="E483" s="367" t="str">
        <v>Black Aluminium Mesh 1.8mm</v>
      </c>
      <c r="G483" s="367" t="s">
        <v>1861</v>
      </c>
      <c r="H483" s="367" t="s">
        <v>1861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" t="s">
        <v>1857</v>
      </c>
      <c r="S483" s="24" t="s">
        <v>1921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24</v>
      </c>
      <c r="W483" s="421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>
      <c r="A484" s="272" t="s">
        <v>2444</v>
      </c>
      <c r="B484" s="367" t="s">
        <v>1841</v>
      </c>
      <c r="C484" s="367" t="s">
        <v>95</v>
      </c>
      <c r="D484" s="367" t="s">
        <v>1814</v>
      </c>
      <c r="E484" s="367" t="str">
        <v>Black Stainless Steel Mesh 1.0mm</v>
      </c>
      <c r="G484" s="367" t="s">
        <v>1862</v>
      </c>
      <c r="H484" s="367" t="s">
        <v>1862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" t="s">
        <v>1856</v>
      </c>
      <c r="S484" s="24" t="s">
        <v>1921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21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>
      <c r="A485" s="272" t="s">
        <v>2444</v>
      </c>
      <c r="C485" s="367" t="s">
        <v>95</v>
      </c>
      <c r="E485" s="367" t="str">
        <v/>
      </c>
      <c r="G485" s="367" t="s">
        <v>1863</v>
      </c>
      <c r="H485" s="367" t="s">
        <v>1863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21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>
      <c r="A486" s="272" t="s">
        <v>2444</v>
      </c>
      <c r="C486" s="367" t="s">
        <v>95</v>
      </c>
      <c r="E486" s="367" t="str">
        <v/>
      </c>
      <c r="G486" s="367" t="s">
        <v>1864</v>
      </c>
      <c r="H486" s="367" t="s">
        <v>1864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21" t="str">
        <f>IF(Enginuity!$A$22&lt;&gt;"",$W$4,"")</f>
        <v/>
      </c>
    </row>
    <row r="487" spans="1:23">
      <c r="A487" s="272" t="s">
        <v>2444</v>
      </c>
      <c r="C487" s="367" t="s">
        <v>95</v>
      </c>
      <c r="E487" s="367" t="str">
        <v/>
      </c>
      <c r="G487" s="367" t="s">
        <v>1865</v>
      </c>
      <c r="H487" s="367" t="s">
        <v>1865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21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>
      <c r="A488" s="272" t="s">
        <v>2444</v>
      </c>
      <c r="C488" s="367" t="s">
        <v>95</v>
      </c>
      <c r="E488" s="367" t="str">
        <v/>
      </c>
      <c r="G488" s="367" t="s">
        <v>1866</v>
      </c>
      <c r="H488" s="367" t="s">
        <v>1866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21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>
      <c r="A489" s="272" t="s">
        <v>2444</v>
      </c>
      <c r="C489" s="367" t="s">
        <v>95</v>
      </c>
      <c r="E489" s="367" t="str">
        <v/>
      </c>
      <c r="G489" s="367" t="s">
        <v>1867</v>
      </c>
      <c r="H489" s="367" t="s">
        <v>1867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21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>
      <c r="A490" s="272" t="s">
        <v>2444</v>
      </c>
      <c r="C490" s="367" t="s">
        <v>95</v>
      </c>
      <c r="E490" s="367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21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>
      <c r="A491" s="272" t="s">
        <v>2444</v>
      </c>
      <c r="C491" s="367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21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>
      <c r="A492" s="272" t="s">
        <v>2444</v>
      </c>
      <c r="C492" s="367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21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>
      <c r="A493" s="272" t="s">
        <v>2444</v>
      </c>
      <c r="C493" s="367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21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>
      <c r="A494" s="272" t="s">
        <v>2444</v>
      </c>
      <c r="C494" s="367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21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>
      <c r="A495" s="272" t="s">
        <v>2444</v>
      </c>
      <c r="C495" s="367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21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>
      <c r="A496" s="272" t="s">
        <v>2444</v>
      </c>
      <c r="C496" s="367" t="s">
        <v>95</v>
      </c>
      <c r="F496" s="367" t="str">
        <f>"▼ [Insert]"</f>
        <v>▼ [Insert]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>
        <f>"Insert"</f>
        <v>Insert</v>
      </c>
      <c r="R496" s="9" t="str">
        <f>S496</f>
        <v>Breezway 102mm Glass Infill</v>
      </c>
      <c r="S496" s="417" t="str">
        <f>Enginuity!$A$21</f>
        <v>Breezway 102mm Glass Infill</v>
      </c>
      <c r="T496" s="9" t="str">
        <f>S496</f>
        <v>Breezway 102mm Glass Infill</v>
      </c>
      <c r="U496" s="1" t="s">
        <v>176</v>
      </c>
      <c r="V496" s="1" cm="1">
        <f t="array" ref="V496">_xlfn.LET(_xlpm.vSel,TRIM(SUBSTITUTE(Enginuity!$A$21,CHAR(160)," ")),_xlpm.vCode,TRIM(SUBSTITUTE(INDEX(S:S,ROW()),CHAR(160)," ")),IF(AND(_xlpm.vSel&lt;&gt;"",_xlpm.vCode&lt;&gt;"",_xlpm.vSel=_xlpm.vCode),1,""))</f>
        <v>1</v>
      </c>
      <c r="W496" s="421" cm="1">
        <f t="array" ref="W496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497" spans="1:23">
      <c r="A497" s="272" t="s">
        <v>2444</v>
      </c>
      <c r="C497" s="367" t="s">
        <v>95</v>
      </c>
      <c r="F497" s="367" t="s">
        <v>2079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tr" cm="1">
        <f t="array" ref="Q49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497" s="1" t="str">
        <f>IF($T497="","","⬒ "&amp;$T497)</f>
        <v>⬒ Default</v>
      </c>
      <c r="S497" s="24" t="s">
        <v>1828</v>
      </c>
      <c r="T497" s="1" t="str" cm="1">
        <f t="array" ref="T49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497" s="1" t="str" cm="1">
        <f t="array" ref="U49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497" s="1" t="str">
        <f>IF(LEFT(UPPER(TRIM(SUBSTITUTE(Enginuity!$A$21,CHAR(160)," "))),8)="BREEZWAY","",IF(Enginuity!$B$9="","",Enginuity!$B$9))</f>
        <v/>
      </c>
      <c r="W497" s="421" cm="1">
        <f t="array" ref="W49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498" spans="1:23">
      <c r="A498" s="272" t="s">
        <v>2444</v>
      </c>
      <c r="C498" s="367" t="s">
        <v>95</v>
      </c>
      <c r="F498" s="367" t="s">
        <v>2080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21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>
      <c r="A499" s="272" t="s">
        <v>2444</v>
      </c>
      <c r="C499" s="367" t="s">
        <v>95</v>
      </c>
      <c r="F499" s="367" t="s">
        <v>2081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21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>
      <c r="A500" s="272" t="s">
        <v>2444</v>
      </c>
      <c r="C500" s="367" t="s">
        <v>95</v>
      </c>
      <c r="F500" s="367" t="s">
        <v>2426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21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>
      <c r="A501" s="272" t="s">
        <v>2444</v>
      </c>
      <c r="C501" s="367" t="s">
        <v>95</v>
      </c>
      <c r="F501" s="367" t="s">
        <v>2427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21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>
      <c r="A502" s="272" t="s">
        <v>2444</v>
      </c>
      <c r="C502" s="367" t="s">
        <v>95</v>
      </c>
      <c r="F502" s="367" t="s">
        <v>2428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21"/>
    </row>
    <row r="503" spans="1:23">
      <c r="A503" s="272" t="s">
        <v>2444</v>
      </c>
      <c r="C503" s="367" t="s">
        <v>95</v>
      </c>
      <c r="F503" s="367" t="s">
        <v>2429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" t="str">
        <f>IF($S503="","",$T503)</f>
        <v>Hung Friction Stay</v>
      </c>
      <c r="S503" s="24" t="s">
        <v>1874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21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>
      <c r="A504" s="272" t="s">
        <v>2444</v>
      </c>
      <c r="C504" s="367" t="s">
        <v>95</v>
      </c>
      <c r="F504" s="367" t="s">
        <v>2430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" t="str">
        <f>IF($S504="","",$T504)</f>
        <v>Casement Friction Stay</v>
      </c>
      <c r="S504" s="24" t="s">
        <v>1873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4</v>
      </c>
      <c r="W504" s="421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>
      <c r="A505" s="272" t="s">
        <v>2444</v>
      </c>
      <c r="C505" s="367" t="s">
        <v>95</v>
      </c>
      <c r="F505" s="367" t="s">
        <v>2431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05" s="421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>
      <c r="A506" s="272" t="s">
        <v>2444</v>
      </c>
      <c r="C506" s="367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" t="str">
        <f>IF($S506="","",$T506)</f>
        <v>2.5" x 2 Black Tape</v>
      </c>
      <c r="S506" s="24" t="s">
        <v>1891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168</v>
      </c>
      <c r="W506" s="421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>
      <c r="A507" s="272" t="s">
        <v>2444</v>
      </c>
      <c r="C507" s="367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" t="s">
        <v>1924</v>
      </c>
      <c r="S507" s="24" t="s">
        <v>1905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64</v>
      </c>
      <c r="W507" s="421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>
      <c r="A508" s="272" t="s">
        <v>2444</v>
      </c>
      <c r="C508" s="367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" t="s">
        <v>1925</v>
      </c>
      <c r="S508" s="24" t="s">
        <v>1909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80</v>
      </c>
      <c r="W508" s="421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>
      <c r="A509" s="272" t="s">
        <v>2444</v>
      </c>
      <c r="C509" s="367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" t="s">
        <v>1923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80</v>
      </c>
      <c r="W509" s="421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>
      <c r="A510" s="272" t="s">
        <v>2444</v>
      </c>
      <c r="B510" s="395"/>
      <c r="C510" s="395" t="s">
        <v>95</v>
      </c>
      <c r="D510" s="395"/>
      <c r="E510" s="395"/>
      <c r="F510" s="395"/>
      <c r="G510" s="395"/>
      <c r="H510" s="395"/>
      <c r="I510" s="395"/>
      <c r="J510" s="395"/>
      <c r="K510" s="395"/>
      <c r="L510" s="395"/>
      <c r="M510" s="395"/>
      <c r="N510" s="395"/>
      <c r="O510" s="395"/>
      <c r="P510" s="396"/>
      <c r="Q510" s="396" t="str">
        <f>IF($S510="","",IFERROR(_xlfn.XLOOKUP($S510,CostData!$U$22:$U$1000,CostData!$T$22:$T$1000,""),""))</f>
        <v>Gasket</v>
      </c>
      <c r="R510" s="396" t="s">
        <v>1926</v>
      </c>
      <c r="S510" s="411">
        <v>6154</v>
      </c>
      <c r="T510" s="396" t="str" cm="1">
        <f t="array" ref="T510">_xlfn.LET(_xlpm.cd,INDEX($S:$S,ROW()),IF(_xlpm.cd="","",IFERROR(_xlfn.XLOOKUP(_xlpm.cd,CostData!$U$22:$U$1000,CostData!$W$22:$W$1000,""),"")))</f>
        <v>6154 Gasket</v>
      </c>
      <c r="U510" s="396" t="str">
        <f>IF($S510="","",IFERROR(_xlfn.XLOOKUP($S510,CostData!$U$22:$U$1000,CostData!$AA$22:$AA$1000,""),""))</f>
        <v>Ft</v>
      </c>
      <c r="V510" s="396">
        <f>IF(SUM($V$63:$V$64)=0,"",SUM($V$63:$V$64)*2)</f>
        <v>48</v>
      </c>
      <c r="W510" s="42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>
      <c r="A511" s="272" t="s">
        <v>2444</v>
      </c>
      <c r="B511" s="367" t="s">
        <v>1840</v>
      </c>
      <c r="C511" s="367" t="s">
        <v>13</v>
      </c>
      <c r="D511" s="367" t="s">
        <v>1791</v>
      </c>
      <c r="E511" s="367" t="str" cm="1">
        <f t="array" ref="E511:E520">IFERROR(INDEX(_xlfn._xlws.FILTER(CostData!$P$3:$P$12,CostData!$P$3:$P$12&lt;&gt;""),_xlfn.SEQUENCE(10)),"")</f>
        <v>Default</v>
      </c>
      <c r="F511" s="408" t="str">
        <f>"▼ [Product Subtype]"</f>
        <v>▼ [Product Subtype]</v>
      </c>
      <c r="G511" s="367" t="str">
        <f>"▼ [Fix - Casement]"</f>
        <v>▼ [Fix - Casement]</v>
      </c>
      <c r="H511" s="367" t="str">
        <f>"▼ [Hung Window - Casement]"</f>
        <v>▼ [Hung Window - Casement]</v>
      </c>
      <c r="I511" s="367" t="s">
        <v>1852</v>
      </c>
      <c r="J511" s="367" t="s">
        <v>1853</v>
      </c>
      <c r="K511" s="367" t="s">
        <v>1854</v>
      </c>
      <c r="L511" s="367" t="s">
        <v>1855</v>
      </c>
      <c r="M511" s="405">
        <v>0.64075099999999996</v>
      </c>
      <c r="N511" s="367">
        <v>762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" t="s">
        <v>1811</v>
      </c>
      <c r="S511" s="24" t="s">
        <v>1919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W511" s="421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>
      <c r="A512" s="272" t="s">
        <v>2444</v>
      </c>
      <c r="B512" s="367" t="s">
        <v>1842</v>
      </c>
      <c r="C512" s="367" t="s">
        <v>13</v>
      </c>
      <c r="D512" s="367" t="s">
        <v>1813</v>
      </c>
      <c r="E512" s="367" t="str">
        <v>Black Aluminium Mesh 1.6mm</v>
      </c>
      <c r="G512" s="367" t="s">
        <v>1860</v>
      </c>
      <c r="H512" s="367" t="s">
        <v>1860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" t="s">
        <v>1843</v>
      </c>
      <c r="S512" s="24" t="s">
        <v>1920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80</v>
      </c>
      <c r="W512" s="421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>
      <c r="A513" s="272" t="s">
        <v>2444</v>
      </c>
      <c r="B513" s="367" t="s">
        <v>382</v>
      </c>
      <c r="C513" s="367" t="s">
        <v>13</v>
      </c>
      <c r="D513" s="367" t="s">
        <v>1792</v>
      </c>
      <c r="E513" s="367" t="str">
        <v>Black Aluminium Mesh 1.8mm</v>
      </c>
      <c r="G513" s="367" t="s">
        <v>1861</v>
      </c>
      <c r="H513" s="367" t="s">
        <v>1861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" t="s">
        <v>1857</v>
      </c>
      <c r="S513" s="24" t="s">
        <v>1921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24</v>
      </c>
      <c r="W513" s="421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>
      <c r="A514" s="272" t="s">
        <v>2444</v>
      </c>
      <c r="B514" s="367" t="s">
        <v>1841</v>
      </c>
      <c r="C514" s="367" t="s">
        <v>13</v>
      </c>
      <c r="D514" s="367" t="s">
        <v>1814</v>
      </c>
      <c r="E514" s="367" t="str">
        <v>Black Stainless Steel Mesh 1.0mm</v>
      </c>
      <c r="G514" s="367" t="s">
        <v>1862</v>
      </c>
      <c r="H514" s="367" t="s">
        <v>1862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" t="s">
        <v>1856</v>
      </c>
      <c r="S514" s="24" t="s">
        <v>1921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21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>
      <c r="A515" s="272" t="s">
        <v>2444</v>
      </c>
      <c r="C515" s="367" t="s">
        <v>13</v>
      </c>
      <c r="E515" s="367" t="str">
        <v/>
      </c>
      <c r="G515" s="367" t="s">
        <v>1863</v>
      </c>
      <c r="H515" s="367" t="s">
        <v>1863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21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>
      <c r="A516" s="272" t="s">
        <v>2444</v>
      </c>
      <c r="C516" s="367" t="s">
        <v>13</v>
      </c>
      <c r="E516" s="367" t="str">
        <v/>
      </c>
      <c r="G516" s="367" t="s">
        <v>1864</v>
      </c>
      <c r="H516" s="367" t="s">
        <v>1864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21" t="str">
        <f>IF(Enginuity!$A$22&lt;&gt;"",$W$4,"")</f>
        <v/>
      </c>
    </row>
    <row r="517" spans="1:23">
      <c r="A517" s="272" t="s">
        <v>2444</v>
      </c>
      <c r="C517" s="367" t="s">
        <v>13</v>
      </c>
      <c r="E517" s="367" t="str">
        <v/>
      </c>
      <c r="G517" s="367" t="s">
        <v>1865</v>
      </c>
      <c r="H517" s="367" t="s">
        <v>1865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21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>
      <c r="A518" s="272" t="s">
        <v>2444</v>
      </c>
      <c r="C518" s="367" t="s">
        <v>13</v>
      </c>
      <c r="E518" s="367" t="str">
        <v/>
      </c>
      <c r="G518" s="367" t="s">
        <v>1866</v>
      </c>
      <c r="H518" s="367" t="s">
        <v>1866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21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>
      <c r="A519" s="272" t="s">
        <v>2444</v>
      </c>
      <c r="C519" s="367" t="s">
        <v>13</v>
      </c>
      <c r="E519" s="367" t="str">
        <v/>
      </c>
      <c r="G519" s="367" t="s">
        <v>1867</v>
      </c>
      <c r="H519" s="367" t="s">
        <v>1867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21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>
      <c r="A520" s="272" t="s">
        <v>2444</v>
      </c>
      <c r="C520" s="367" t="s">
        <v>13</v>
      </c>
      <c r="E520" s="367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21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>
      <c r="A521" s="272" t="s">
        <v>2444</v>
      </c>
      <c r="C521" s="367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21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>
      <c r="A522" s="272" t="s">
        <v>2444</v>
      </c>
      <c r="C522" s="367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21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>
      <c r="A523" s="272" t="s">
        <v>2444</v>
      </c>
      <c r="C523" s="367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21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>
      <c r="A524" s="272" t="s">
        <v>2444</v>
      </c>
      <c r="C524" s="367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21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>
      <c r="A525" s="272" t="s">
        <v>2444</v>
      </c>
      <c r="C525" s="367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21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>
      <c r="A526" s="272" t="s">
        <v>2444</v>
      </c>
      <c r="C526" s="367" t="s">
        <v>13</v>
      </c>
      <c r="F526" s="367" t="str">
        <f>"▼ [Insert]"</f>
        <v>▼ [Insert]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>
        <f>"Insert"</f>
        <v>Insert</v>
      </c>
      <c r="R526" s="9" t="str">
        <f>S526</f>
        <v>Breezway 102mm Glass Infill</v>
      </c>
      <c r="S526" s="417" t="str">
        <f>Enginuity!$A$21</f>
        <v>Breezway 102mm Glass Infill</v>
      </c>
      <c r="T526" s="9" t="str">
        <f>S526</f>
        <v>Breezway 102mm Glass Infill</v>
      </c>
      <c r="U526" s="1" t="s">
        <v>176</v>
      </c>
      <c r="V526" s="1" cm="1">
        <f t="array" ref="V526">_xlfn.LET(_xlpm.vSel,TRIM(SUBSTITUTE(Enginuity!$A$21,CHAR(160)," ")),_xlpm.vCode,TRIM(SUBSTITUTE(INDEX(S:S,ROW()),CHAR(160)," ")),IF(AND(_xlpm.vSel&lt;&gt;"",_xlpm.vCode&lt;&gt;"",_xlpm.vSel=_xlpm.vCode),1,""))</f>
        <v>1</v>
      </c>
      <c r="W526" s="421" cm="1">
        <f t="array" ref="W526">IFERROR(_xlfn.LET(_xlpm.sel,TRIM(SUBSTITUTE(Enginuity!$A$21,CHAR(160)," ")),_xlfn.SWITCH(_xlpm.sel,"08-Box Lattice",$W$14,"12-Box Lattice",$W$15,"24-Box Lattice",$W$16,"Security Door Insert",$W$34,IF(LEFT(UPPER(_xlpm.sel),8)="BREEZWAY",Breezway!$F$40,""))),"")</f>
        <v>3017.0880000000002</v>
      </c>
    </row>
    <row r="527" spans="1:23">
      <c r="A527" s="272" t="s">
        <v>2444</v>
      </c>
      <c r="C527" s="367" t="s">
        <v>13</v>
      </c>
      <c r="F527" s="367" t="s">
        <v>2079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tr" cm="1">
        <f t="array" ref="Q527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527" s="1" t="str">
        <f>IF($T527="","","⬒ "&amp;$T527)</f>
        <v>⬒ Default</v>
      </c>
      <c r="S527" s="24" t="s">
        <v>1828</v>
      </c>
      <c r="T527" s="1" t="str" cm="1">
        <f t="array" ref="T527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527" s="1" t="str" cm="1">
        <f t="array" ref="U527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527" s="1" t="str">
        <f>IF(LEFT(UPPER(TRIM(SUBSTITUTE(Enginuity!$A$21,CHAR(160)," "))),8)="BREEZWAY","",IF(Enginuity!$B$9="","",Enginuity!$B$9))</f>
        <v/>
      </c>
      <c r="W527" s="421" cm="1">
        <f t="array" ref="W527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528" spans="1:23">
      <c r="A528" s="272" t="s">
        <v>2444</v>
      </c>
      <c r="C528" s="367" t="s">
        <v>13</v>
      </c>
      <c r="F528" s="367" t="s">
        <v>2080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21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>
      <c r="A529" s="272" t="s">
        <v>2444</v>
      </c>
      <c r="C529" s="367" t="s">
        <v>13</v>
      </c>
      <c r="F529" s="367" t="s">
        <v>2081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21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>
      <c r="A530" s="272" t="s">
        <v>2444</v>
      </c>
      <c r="C530" s="367" t="s">
        <v>13</v>
      </c>
      <c r="F530" s="367" t="s">
        <v>2426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21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>
      <c r="A531" s="272" t="s">
        <v>2444</v>
      </c>
      <c r="C531" s="367" t="s">
        <v>13</v>
      </c>
      <c r="F531" s="367" t="s">
        <v>2427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21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>
      <c r="A532" s="272" t="s">
        <v>2444</v>
      </c>
      <c r="C532" s="367" t="s">
        <v>13</v>
      </c>
      <c r="F532" s="367" t="s">
        <v>2428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21"/>
    </row>
    <row r="533" spans="1:23">
      <c r="A533" s="272" t="s">
        <v>2444</v>
      </c>
      <c r="C533" s="367" t="s">
        <v>13</v>
      </c>
      <c r="F533" s="367" t="s">
        <v>2429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" t="str">
        <f>IF($S533="","",$T533)</f>
        <v>Hung Friction Stay</v>
      </c>
      <c r="S533" s="24" t="s">
        <v>1874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21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>
      <c r="A534" s="272" t="s">
        <v>2444</v>
      </c>
      <c r="C534" s="367" t="s">
        <v>13</v>
      </c>
      <c r="F534" s="367" t="s">
        <v>2430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" t="str">
        <f>IF($S534="","",$T534)</f>
        <v>Casement Friction Stay</v>
      </c>
      <c r="S534" s="24" t="s">
        <v>1873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4</v>
      </c>
      <c r="W534" s="421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>
      <c r="A535" s="272" t="s">
        <v>2444</v>
      </c>
      <c r="C535" s="367" t="s">
        <v>13</v>
      </c>
      <c r="F535" s="367" t="s">
        <v>2431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35" s="421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>
      <c r="A536" s="272" t="s">
        <v>2444</v>
      </c>
      <c r="C536" s="367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" t="str">
        <f>IF($S536="","",$T536)</f>
        <v>2.5" x 2 Black Tape</v>
      </c>
      <c r="S536" s="24" t="s">
        <v>1891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168</v>
      </c>
      <c r="W536" s="421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>
      <c r="A537" s="272" t="s">
        <v>2444</v>
      </c>
      <c r="C537" s="367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" t="s">
        <v>1924</v>
      </c>
      <c r="S537" s="24" t="s">
        <v>1905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64</v>
      </c>
      <c r="W537" s="421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>
      <c r="A538" s="272" t="s">
        <v>2444</v>
      </c>
      <c r="C538" s="367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" t="s">
        <v>1925</v>
      </c>
      <c r="S538" s="24" t="s">
        <v>1909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80</v>
      </c>
      <c r="W538" s="421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>
      <c r="A539" s="272" t="s">
        <v>2444</v>
      </c>
      <c r="C539" s="367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" t="s">
        <v>1923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80</v>
      </c>
      <c r="W539" s="421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>
      <c r="A540" s="272" t="s">
        <v>2444</v>
      </c>
      <c r="C540" s="367" t="s">
        <v>13</v>
      </c>
      <c r="Q540" s="1" t="str">
        <f>IF($S540="","",IFERROR(_xlfn.XLOOKUP($S540,CostData!$U$22:$U$1000,CostData!$T$22:$T$1000,""),""))</f>
        <v>Gasket</v>
      </c>
      <c r="R540" s="1" t="s">
        <v>1926</v>
      </c>
      <c r="S540" s="24">
        <v>6154</v>
      </c>
      <c r="T540" s="1" t="str" cm="1">
        <f t="array" ref="T540">_xlfn.LET(_xlpm.cd,INDEX($S:$S,ROW()),IF(_xlpm.cd="","",IFERROR(_xlfn.XLOOKUP(_xlpm.cd,CostData!$U$22:$U$1000,CostData!$W$22:$W$1000,""),"")))</f>
        <v>6154 Gasket</v>
      </c>
      <c r="U540" s="1" t="str">
        <f>IF($S540="","",IFERROR(_xlfn.XLOOKUP($S540,CostData!$U$22:$U$1000,CostData!$AA$22:$AA$1000,""),""))</f>
        <v>Ft</v>
      </c>
      <c r="V540" s="1">
        <f>IF(SUM($V$63:$V$64)=0,"",SUM($V$63:$V$64)*2)</f>
        <v>48</v>
      </c>
      <c r="W540" s="421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1" spans="1:23">
      <c r="A541" s="412" t="s">
        <v>253</v>
      </c>
      <c r="B541" s="408" t="str" cm="1">
        <f t="array" ref="B541">IF(OR(UPPER(TRIM(SUBSTITUTE(Enginuity!$A$1,CHAR(160)," ")))&lt;&gt;"VITALLY",TRIM(SUBSTITUTE(Enginuity!$A$18,CHAR(160)," "))="",TRIM(SUBSTITUTE(Enginuity!$B$18,CHAR(160)," "))=""),"",IFERROR(_xlfn.LET(_xlpm.svc,TRIM(SUBSTITUTE(Vitally!$A$23:$A$80,CHAR(160)," ")),_xlpm.srcType,TRIM(SUBSTITUTE(Vitally!$C$23:$C$80,CHAR(160)," ")),_xlpm.srcSub,TRIM(SUBSTITUTE(Vitally!$D$23:$D$80,CHAR(160)," ")),_xlpm.r,ROW(Vitally!$A$23:$A$80),_xlpm.rowType,TRIM(SUBSTITUTE(LOOKUP(_xlpm.r,_xlpm.r/(_xlpm.srcType&lt;&gt;""),_xlpm.srcType),CHAR(160)," ")),_xlpm.selType,UPPER(SUBSTITUTE(SUBSTITUTE(TRIM(SUBSTITUTE(Enginuity!$A$18,CHAR(160)," ")),"-","")," ","")),_xlpm.typeKey,UPPER(SUBSTITUTE(SUBSTITUTE(_xlpm.rowType,"-","")," ","")),_xlpm.selSub,TRIM(SUBSTITUTE(Enginuity!$B$18,CHAR(160)," ")),_xlpm.subRow,INDEX(_xlpm.r,MATCH(1,(_xlpm.typeKey=_xlpm.selType)*(_xlpm.srcSub=_xlpm.selSub),0)),_xlpm.startRow,LOOKUP(2,1/((_xlpm.r&lt;=_xlpm.subRow)*(UPPER(_xlpm.svc)="SUPPLY ONLY")),_xlpm.r),_xlpm.endRow,IFERROR(MIN(_xlfn._xlws.FILTER(_xlpm.r,(_xlpm.r&gt;_xlpm.startRow)*(UPPER(_xlpm.svc)="SUPPLY ONLY"))),MAX(_xlpm.r)+1),_xlfn._xlws.FILTER(_xlpm.svc,(_xlpm.r&gt;=_xlpm.startRow)*(_xlpm.r&lt;_xlpm.endRow)*(_xlpm.svc&lt;&gt;""))),""))</f>
        <v/>
      </c>
      <c r="C541" s="408" t="str" cm="1">
        <f t="array" ref="C541">IF(UPPER(TRIM(SUBSTITUTE(Enginuity!$A$1,CHAR(160)," ")))&lt;&gt;"VITALLY","",IFERROR(_xlfn.LET(_xlpm.src,TRIM(SUBSTITUTE(Vitally!$C$23:$C$80,CHAR(160)," ")),_xlfn._xlws.SORT(_xlfn.UNIQUE(_xlfn._xlws.FILTER(_xlpm.src,_xlpm.src&lt;&gt;"")))),""))</f>
        <v/>
      </c>
      <c r="D541" s="408" t="str" cm="1">
        <f t="array" ref="D541">IF(OR(UPPER(TRIM(SUBSTITUTE(Enginuity!$A$1,CHAR(160)," ")))&lt;&gt;"VITALLY",TRIM(SUBSTITUTE(Enginuity!$A$18,CHAR(160)," "))="",TRIM(SUBSTITUTE(Enginuity!$B$18,CHAR(160)," "))=""),"",IFERROR(_xlfn.LET(_xlpm.srcType,TRIM(SUBSTITUTE(Vitally!$C$23:$C$1000,CHAR(160)," ")),_xlpm.srcSub,TRIM(SUBSTITUTE(Vitally!$D$23:$D$1000,CHAR(160)," ")),_xlpm.srcFinish,TRIM(SUBSTITUTE(Vitally!$H$23:$H$1000,CHAR(160)," ")),_xlpm.r,ROW(Vitally!$D$23:$D$1000),_xlpm.rowType,TRIM(SUBSTITUTE(LOOKUP(_xlpm.r,_xlpm.r/(_xlpm.srcType&lt;&gt;""),_xlpm.srcType),CHAR(160)," ")),_xlpm.typeKey,UPPER(SUBSTITUTE(SUBSTITUTE(_xlpm.rowType,"-","")," ","")),_xlpm.selTypeKey,UPPER(SUBSTITUTE(SUBSTITUTE(TRIM(SUBSTITUTE(Enginuity!$A$18,CHAR(160)," ")),"-","")," ","")),_xlpm.selSub,TRIM(SUBSTITUTE(Enginuity!$B$18,CHAR(160)," ")),_xlpm.subRow,INDEX(_xlpm.r,MATCH(1,(_xlpm.typeKey=_xlpm.selTypeKey)*(_xlpm.srcSub=_xlpm.selSub),0)),LOOKUP(2,1/((_xlpm.r&lt;=_xlpm.subRow)*(_xlpm.typeKey=_xlpm.selTypeKey)*(_xlpm.srcFinish&lt;&gt;"")),_xlpm.srcFinish)),""))</f>
        <v/>
      </c>
      <c r="E541" s="408" t="str" cm="1">
        <f t="array" ref="E541">IF(
  OR(
    UPPER(TRIM(SUBSTITUTE(Enginuity!$A$1,CHAR(160)," ")))&lt;&gt;"VITALLY",
    TRIM(SUBSTITUTE(Enginuity!$A$18,CHAR(160)," "))="",
    TRIM(SUBSTITUTE(Enginuity!$B$18,CHAR(160)," "))=""
  ),
  "",
  IFERROR(
    _xlfn.LET(
      _xlpm.srcType,TRIM(SUBSTITUTE(Vitally!$C$23:$C$1000,CHAR(160)," ")),
      _xlpm.srcSub,TRIM(SUBSTITUTE(Vitally!$D$23:$D$1000,CHAR(160)," ")),
      _xlpm.srcPanel,TRIM(SUBSTITUTE(Vitally!$I$23:$I$1000,CHAR(160)," ")),
      _xlpm.r,ROW(Vitally!$D$23:$D$1000),
      _xlpm.rowType,TRIM(SUBSTITUTE(LOOKUP(_xlpm.r,_xlpm.r/(_xlpm.srcType&lt;&gt;""),_xlpm.srcType),CHAR(160)," ")),
      _xlpm.typeKey,UPPER(SUBSTITUTE(SUBSTITUTE(_xlpm.rowType,"-","")," ","")),
      _xlpm.selTypeKey,UPPER(SUBSTITUTE(SUBSTITUTE(TRIM(SUBSTITUTE(Enginuity!$A$18,CHAR(160)," ")),"-","")," ","")),
      _xlpm.selSub,TRIM(SUBSTITUTE(Enginuity!$B$18,CHAR(160)," ")),
      _xlpm.subRow,INDEX(_xlpm.r,MATCH(1,(_xlpm.typeKey=_xlpm.selTypeKey)*(_xlpm.srcSub=_xlpm.selSub),0)),
      _xlpm.subRows,_xlfn._xlws.FILTER(_xlpm.r,(_xlpm.typeKey=_xlpm.selTypeKey)*(_xlpm.srcSub&lt;&gt;"")),
      _xlpm.prevSub,TRIM(SUBSTITUTE(INDEX(Vitally!$D:$D,_xlpm.subRows-1),CHAR(160)," ")),
      _xlpm.groupStarts,_xlfn._xlws.FILTER(_xlpm.subRows,((_xlpm.subRows=MIN(_xlpm.subRows))+(_xlpm.prevSub=""))&gt;0),
      _xlpm.startRow,LOOKUP(2,1/(_xlpm.groupStarts&lt;=_xlpm.subRow),_xlpm.groupStarts),
      _xlpm.typeLast,MAX(_xlfn._xlws.FILTER(_xlpm.r,_xlpm.typeKey=_xlpm.selTypeKey)),
      _xlpm.endRow,IFERROR(MIN(_xlfn._xlws.FILTER(_xlpm.groupStarts,_xlpm.groupStarts&gt;_xlpm.startRow)),_xlpm.typeLast+1),
      _xlpm.panelList,_xlfn.UNIQUE(
        _xlfn._xlws.FILTER(
          _xlpm.srcPanel,
          (_xlpm.r&gt;=_xlpm.startRow)*
          (_xlpm.r&lt;_xlpm.endRow)*
          (_xlpm.typeKey=_xlpm.selTypeKey)*
          (_xlpm.srcPanel&lt;&gt;"")
        )
      ),
      INDEX(_xlpm.panelList,_xlfn.SEQUENCE(MIN(29,ROWS(_xlpm.panelList))))
    ),
    ""
  )
)</f>
        <v/>
      </c>
      <c r="F541" s="408" t="str">
        <f>"▼ [Product Subtype]"</f>
        <v>▼ [Product Subtype]</v>
      </c>
      <c r="G541" s="408" t="str" cm="1">
        <f t="array" ref="G541">_xlfn.LET(
  _xlpm.grp,UPPER(TRIM(SUBSTITUTE(Enginuity!$A$1,CHAR(160)," "))),
  _xlpm.typ,UPPER(SUBSTITUTE(SUBSTITUTE(TRIM(SUBSTITUTE(Enginuity!$A$18,CHAR(160)," ")),"-","")," ","")),
  _xlpm.sub,TRIM(SUBSTITUTE(Enginuity!$B$18,CHAR(160)," ")),
  IF(
    OR(_xlpm.grp&lt;&gt;"VITALLY",_xlpm.sub=""),
    "",
    _xlfn.SWITCH(
      _xlpm.typ,
      "BIFOLD","▼ ["&amp;Vitally!$M$22&amp;"]",
      "SWINGDOOR","▼ ["&amp;Vitally!$M$59&amp;"]",
      ""
    )
  )
)</f>
        <v/>
      </c>
      <c r="H541" s="408" t="str">
        <f>_xlfn.LET(
  _xlpm.grp,UPPER(TRIM(SUBSTITUTE(Enginuity!$A$1,CHAR(160)," "))),
  _xlpm.typ,UPPER(SUBSTITUTE(SUBSTITUTE(TRIM(SUBSTITUTE(Enginuity!$A$18,CHAR(160)," ")),"-","")," ","")),
  _xlpm.sub,TRIM(SUBSTITUTE(Enginuity!$B$18,CHAR(160)," ")),
  IF(AND(_xlpm.grp="VITALLY",_xlpm.typ="BIFOLD",_xlpm.sub&lt;&gt;""),"▼ ["&amp;Vitally!$N$22&amp;"]","")
)</f>
        <v/>
      </c>
      <c r="I541" s="408" t="str">
        <f>_xlfn.LET(
  _xlpm.grp,UPPER(TRIM(SUBSTITUTE(Enginuity!$A$1,CHAR(160)," "))),
  _xlpm.typ,UPPER(SUBSTITUTE(SUBSTITUTE(TRIM(SUBSTITUTE(Enginuity!$A$18,CHAR(160)," ")),"-","")," ","")),
  _xlpm.sub,TRIM(SUBSTITUTE(Enginuity!$B$18,CHAR(160)," ")),
  _xlpm.pnl,UPPER(TRIM(SUBSTITUTE(Enginuity!$A$20,CHAR(160)," "))),
  IF(AND(_xlpm.grp="VITALLY",_xlpm.typ="BIFOLD",_xlpm.sub&lt;&gt;"",_xlpm.pnl="COMPOSITE"),"▼ ["&amp;Vitally!$O$22&amp;"]","")
)</f>
        <v/>
      </c>
      <c r="J541" s="408" t="str" cm="1">
        <f t="array" ref="J541">IFERROR(_xlfn.LET(_xlpm.grp,UPPER(TRIM(SUBSTITUTE(Enginuity!$A$1,CHAR(160)," "))),_xlpm.selType,TRIM(SUBSTITUTE(Enginuity!$A$18,CHAR(160)," ")),_xlpm.selSub,TRIM(SUBSTITUTE(Enginuity!$B$18,CHAR(160)," ")),_xlpm.pnl,UPPER(TRIM(SUBSTITUTE(Enginuity!$A$20,CHAR(160)," "))),_xlpm.srcType,TRIM(SUBSTITUTE(Vitally!$C$23:$C$1000,CHAR(160)," ")),_xlpm.srcSub,TRIM(SUBSTITUTE(Vitally!$D$23:$D$1000,CHAR(160)," ")),_xlpm.srcLou,TRIM(SUBSTITUTE(Vitally!$P$23:$P$1000,CHAR(160)," ")),_xlpm.r,ROW(Vitally!$C$23:$C$1000),_xlpm.rowType,TRIM(SUBSTITUTE(LOOKUP(_xlpm.r,_xlpm.r/(_xlpm.srcType&lt;&gt;""),_xlpm.srcType),CHAR(160)," ")),_xlpm.typeKey,UPPER(SUBSTITUTE(SUBSTITUTE(_xlpm.rowType,"-","")," ","")),_xlpm.selTypeKey,UPPER(SUBSTITUTE(SUBSTITUTE(_xlpm.selType,"-","")," ","")),_xlpm.validSub,SUMPRODUCT(--(_xlpm.typeKey=_xlpm.selTypeKey),--(_xlpm.srcSub=_xlpm.selSub))&gt;0,_xlpm.list,_xlfn.UNIQUE(_xlfn._xlws.FILTER(_xlpm.srcLou,(_xlpm.typeKey=_xlpm.selTypeKey)*(_xlpm.srcLou&lt;&gt;"")*(LEFT(_xlpm.srcLou,1)&lt;&gt;"▼"))),_xlpm.seq,_xlfn.SEQUENCE(MIN(8,ROWS(_xlpm.list))+1),IF(AND(_xlpm.grp="VITALLY",_xlpm.validSub,_xlpm.pnl&lt;&gt;"",_xlpm.pnl&lt;&gt;"FULL LOUVERS"),IF(_xlpm.seq=1,"▼ ["&amp;TRIM(SUBSTITUTE(Vitally!$P$22,CHAR(160)," "))&amp;"]",INDEX(_xlpm.list,IF(_xlpm.seq=1,1,_xlpm.seq-1))),"")),"")</f>
        <v/>
      </c>
      <c r="K541" s="408" t="str" cm="1">
        <f t="array" ref="K541">IFERROR(_xlfn.LET(_xlpm.grp,UPPER(TRIM(SUBSTITUTE(Enginuity!$A$1,CHAR(160)," "))),_xlpm.selType,TRIM(SUBSTITUTE(Enginuity!$A$18,CHAR(160)," ")),_xlpm.selSub,TRIM(SUBSTITUTE(Enginuity!$B$18,CHAR(160)," ")),_xlpm.pnl,UPPER(TRIM(SUBSTITUTE(Enginuity!$A$20,CHAR(160)," "))),_xlpm.srcType,TRIM(SUBSTITUTE(Vitally!$C$23:$C$1000,CHAR(160)," ")),_xlpm.srcSub,TRIM(SUBSTITUTE(Vitally!$D$23:$D$1000,CHAR(160)," ")),_xlpm.srcEco,Vitally!$R$23:$R$1000,_xlpm.r,ROW(Vitally!$C$23:$C$1000),_xlpm.rowType,TRIM(SUBSTITUTE(LOOKUP(_xlpm.r,_xlpm.r/(_xlpm.srcType&lt;&gt;""),_xlpm.srcType),CHAR(160)," ")),_xlpm.typeKey,UPPER(SUBSTITUTE(SUBSTITUTE(_xlpm.rowType,"-","")," ","")),_xlpm.selTypeKey,UPPER(SUBSTITUTE(SUBSTITUTE(_xlpm.selType,"-","")," ","")),_xlpm.validSub,SUMPRODUCT(--(_xlpm.typeKey=_xlpm.selTypeKey),--(_xlpm.srcSub=_xlpm.selSub))&gt;0,_xlpm.rateExists,SUMPRODUCT(--(_xlpm.typeKey=_xlpm.selTypeKey),--(_xlpm.srcEco&lt;&gt;""))&gt;0,_xlpm.eligible,OR(ISNUMBER(SEARCH("ECOBONZ",_xlpm.pnl)),ISNUMBER(SEARCH("ECOSCREEN",_xlpm.pnl)),ISNUMBER(SEARCH("ECOPOLY",_xlpm.pnl))),IF(AND(_xlpm.grp="VITALLY",_xlpm.validSub,_xlpm.rateExists,_xlpm.eligible),"▼ ["&amp;TRIM(SUBSTITUTE(Vitally!$R$22,CHAR(160)," "))&amp;"]","")),"")</f>
        <v/>
      </c>
      <c r="L541" s="408" t="str">
        <f>_xlfn.LET(
  _xlpm.grp,UPPER(TRIM(SUBSTITUTE(Enginuity!$A$1,CHAR(160)," "))),
  _xlpm.typ,UPPER(SUBSTITUTE(SUBSTITUTE(TRIM(SUBSTITUTE(Enginuity!$A$18,CHAR(160)," ")),"-","")," ","")),
  _xlpm.sub,UPPER(TRIM(SUBSTITUTE(Enginuity!$B$18,CHAR(160)," "))),
  IF(
    AND(_xlpm.grp="VITALLY",_xlpm.typ="SWINGDOOR",_xlpm.sub="830A"),
    "▼ [Include]",
    ""
  )
)</f>
        <v/>
      </c>
      <c r="M541" s="413" t="str" cm="1">
        <f t="array" ref="M541">IF(OR(UPPER(TRIM(SUBSTITUTE(Enginuity!$A$1,CHAR(160)," ")))&lt;&gt;"VITALLY",TRIM(SUBSTITUTE(Enginuity!$A$18,CHAR(160)," "))="",TRIM(SUBSTITUTE(Enginuity!$B$18,CHAR(160)," "))=""),"",IFERROR(_xlfn.LET(_xlpm.srcType,TRIM(SUBSTITUTE(Vitally!$C$23:$C$1000,CHAR(160)," ")),_xlpm.srcSub,TRIM(SUBSTITUTE(Vitally!$D$23:$D$1000,CHAR(160)," ")),_xlpm.r,ROW(Vitally!$D$23:$D$1000),_xlpm.rowType,TRIM(SUBSTITUTE(LOOKUP(_xlpm.r,_xlpm.r/(_xlpm.srcType&lt;&gt;""),_xlpm.srcType),CHAR(160)," ")),_xlpm.typeKey,UPPER(SUBSTITUTE(SUBSTITUTE(_xlpm.rowType,"-","")," ","")),_xlpm.selTypeKey,UPPER(SUBSTITUTE(SUBSTITUTE(TRIM(SUBSTITUTE(Enginuity!$A$18,CHAR(160)," ")),"-","")," ","")),_xlpm.selSub,TRIM(SUBSTITUTE(Enginuity!$B$18,CHAR(160)," ")),INDEX(Vitally!$F$23:$G$1000,MATCH(1,(_xlpm.typeKey=_xlpm.selTypeKey)*(_xlpm.srcSub=_xlpm.selSub),0),0)),""))</f>
        <v/>
      </c>
      <c r="N541" s="408"/>
      <c r="O541" s="408"/>
      <c r="P541" s="404" t="str" cm="1">
        <f t="array" ref="P541">IF(AND(UPPER(TRIM(SUBSTITUTE(Enginuity!$A$1,CHAR(160)," ")))="VITALLY",TRIM(INDEX($T:$T,ROW()))&lt;&gt;"",INDEX($V:$V,ROW())&lt;&gt;"",INDEX($V:$V,ROW())&lt;&gt;0,INDEX($W:$W,ROW())&lt;&gt;"",INDEX($W:$W,ROW())&lt;&gt;0),ROW(),"")</f>
        <v/>
      </c>
      <c r="Q541" s="404"/>
      <c r="R541" s="404" t="str" cm="1">
        <f t="array" ref="R541">IFERROR(INDEX(_xlfn.ANCHORARRAY(T541),0,1),"")</f>
        <v/>
      </c>
      <c r="S541" s="410"/>
      <c r="T541" s="404" t="str" cm="1">
        <f t="array" ref="T541">IF(
OR(
UPPER(TRIM(SUBSTITUTE(Enginuity!$A$1,CHAR(160)," ")))&lt;&gt;"VITALLY",
TRIM(SUBSTITUTE(Enginuity!$A$18,CHAR(160)," "))="",
TRIM(SUBSTITUTE(Enginuity!$B$18,CHAR(160)," "))=""
),
"",
IFERROR(
_xlfn.LET(
_xlpm.selType,TRIM(SUBSTITUTE(Enginuity!$A$18,CHAR(160)," ")),
_xlpm.selSub,TRIM(SUBSTITUTE(Enginuity!$B$18,CHAR(160)," ")),
_xlpm.selService,TRIM(SUBSTITUTE(Enginuity!$A$17,CHAR(160)," ")),
_xlpm.selPanel,TRIM(SUBSTITUTE(Enginuity!$A$20,CHAR(160)," ")),
_xlpm.selLattice,TRIM(SUBSTITUTE(Enginuity!$A$21,CHAR(160)," ")),
_xlpm.selOpt22,TRIM(SUBSTITUTE(Enginuity!$A$22,CHAR(160)," ")),
_xlpm.selOpt23,TRIM(SUBSTITUTE(Enginuity!$A$23,CHAR(160)," ")),
_xlpm.selVent,TRIM(SUBSTITUTE(Enginuity!$A$24,CHAR(160)," ")),
_xlpm.selLouver,TRIM(SUBSTITUTE(Enginuity!$A$25,CHAR(160)," ")),
_xlpm.selEco,TRIM(SUBSTITUTE(Enginuity!$A$26,CHAR(160)," ")),
_xlpm.selInclude,TRIM(SUBSTITUTE(Enginuity!$A$27,CHAR(160)," ")),
_xlpm.panelQty,MAX(1,N(Enginuity!$B$13)),
_xlpm.srcType,TRIM(SUBSTITUTE(Vitally!$C$23:$C$1000,CHAR(160)," ")),
_xlpm.srcSub,TRIM(SUBSTITUTE(Vitally!$D$23:$D$1000,CHAR(160)," ")),
_xlpm.srcService,TRIM(SUBSTITUTE(Vitally!$A$23:$A$1000,CHAR(160)," ")),
_xlpm.srcServiceRate,Vitally!$B$23:$B$1000,
_xlpm.srcPanel,TRIM(SUBSTITUTE(Vitally!$I$23:$I$1000,CHAR(160)," ")),
_xlpm.srcPanelRate,Vitally!$J$23:$J$1000,
_xlpm.srcAdjustRate,Vitally!$N$23:$N$1000,
_xlpm.srcLouver,TRIM(SUBSTITUTE(Vitally!$P$23:$P$1000,CHAR(160)," ")),
_xlpm.srcLouverRate,Vitally!$Q$23:$Q$1000,
_xlpm.srcEcoRate,Vitally!$R$23:$R$1000,
_xlpm.srcRows,ROW(Vitally!$C$23:$C$1000),
_xlpm.filledType,TRIM(SUBSTITUTE(LOOKUP(_xlpm.srcRows,_xlpm.srcRows/(_xlpm.srcType&lt;&gt;""),_xlpm.srcType),CHAR(160)," ")),
_xlpm.typeKey,UPPER(SUBSTITUTE(SUBSTITUTE(_xlpm.filledType,"-","")," ","")),
_xlpm.selectedTypeKey,UPPER(SUBSTITUTE(SUBSTITUTE(_xlpm.selType,"-","")," ","")),
_xlpm.supported,OR(_xlpm.selectedTypeKey="BIFOLD",_xlpm.selectedTypeKey="SWINGDOOR",_xlpm.selectedTypeKey="SWINGDOORFRAME",_xlpm.selectedTypeKey="SUSPENDEDSLIDINGDOOR"),
_xlpm.subRow,INDEX(_xlpm.srcRows,MATCH(1,(_xlpm.typeKey=_xlpm.selectedTypeKey)*(_xlpm.srcSub=_xlpm.selSub),0)),
_xlpm.frameRate,INDEX(Vitally!$E:$E,_xlpm.subRow),
_xlpm.serviceStart,LOOKUP(2,1/((_xlpm.srcRows&lt;=_xlpm.subRow)*(_xlpm.typeKey=_xlpm.selectedTypeKey)*(UPPER(_xlpm.srcService)="SUPPLY ONLY")),_xlpm.srcRows),
_xlpm.serviceEnd,IFERROR(MIN(_xlfn._xlws.FILTER(_xlpm.srcRows,(_xlpm.srcRows&gt;_xlpm.serviceStart)*(_xlpm.typeKey=_xlpm.selectedTypeKey)*(UPPER(_xlpm.srcService)="SUPPLY ONLY"))),MAX(_xlfn._xlws.FILTER(_xlpm.srcRows,_xlpm.typeKey=_xlpm.selectedTypeKey))+1),
_xlpm.serviceMask,(_xlpm.srcRows&gt;=_xlpm.serviceStart)*(_xlpm.srcRows&lt;_xlpm.serviceEnd)*(_xlpm.typeKey=_xlpm.selectedTypeKey),
_xlpm.sourceServiceRate,IFERROR(_xlfn.XLOOKUP(_xlpm.selService,_xlfn._xlws.FILTER(_xlpm.srcService,_xlpm.serviceMask),_xlfn._xlws.FILTER(_xlpm.srcServiceRate,_xlpm.serviceMask),""),""),
_xlpm.subRows,_xlfn._xlws.FILTER(_xlpm.srcRows,(_xlpm.typeKey=_xlpm.selectedTypeKey)*(_xlpm.srcSub&lt;&gt;"")),
_xlpm.previousSub,TRIM(SUBSTITUTE(INDEX(Vitally!$D:$D,_xlpm.subRows-1),CHAR(160)," ")),
_xlpm.panelGroupStarts,_xlfn._xlws.FILTER(_xlpm.subRows,((_xlpm.subRows=MIN(_xlpm.subRows))+(_xlpm.previousSub=""))&gt;0),
_xlpm.panelStart,LOOKUP(2,1/(_xlpm.panelGroupStarts&lt;=_xlpm.subRow),_xlpm.panelGroupStarts),
_xlpm.panelEnd,IFERROR(MIN(_xlfn._xlws.FILTER(_xlpm.panelGroupStarts,_xlpm.panelGroupStarts&gt;_xlpm.panelStart)),MAX(_xlfn._xlws.FILTER(_xlpm.srcRows,_xlpm.typeKey=_xlpm.selectedTypeKey))+1),
_xlpm.panelMask,(_xlpm.srcRows&gt;=_xlpm.panelStart)*(_xlpm.srcRows&lt;_xlpm.panelEnd)*(_xlpm.typeKey=_xlpm.selectedTypeKey),
_xlpm.panelRate,IF(OR(_xlpm.selPanel="",LEFT(_xlpm.selPanel,1)="▼"),"",IFERROR(_xlfn.XLOOKUP(_xlpm.selPanel,_xlfn._xlws.FILTER(_xlpm.srcPanel,_xlpm.panelMask),_xlfn._xlws.FILTER(_xlpm.srcPanelRate,_xlpm.panelMask),""),"")),
_xlpm.latticeRate,IF(OR(_xlpm.selLattice="",LEFT(_xlpm.selLattice,1)="▼"),"",IFERROR(_xlfn.XLOOKUP(_xlpm.selLattice,TRIM(SUBSTITUTE(Vitally!$K$23:$K$1000,CHAR(160)," ")),Vitally!$L$23:$L$1000,""),"")),
_xlpm.option22Rate,IF(_xlpm.selectedTypeKey="BIFOLD",IF(_xlpm.selOpt22=TRIM(SUBSTITUTE(Vitally!$M$22,CHAR(160)," ")),Vitally!$M$23,""),IF(_xlpm.selectedTypeKey="SWINGDOOR",IF(_xlpm.selOpt22=TRIM(SUBSTITUTE(Vitally!$M$59,CHAR(160)," ")),Vitally!$M$60,""),"")),
_xlpm.option22Uom,IF(_xlpm.selectedTypeKey="BIFOLD","Set",IF(_xlpm.selectedTypeKey="SWINGDOOR","No","")),
_xlpm.option23Rate,IF(AND(_xlpm.selectedTypeKey="BIFOLD",_xlpm.selOpt23=TRIM(SUBSTITUTE(Vitally!$N$22,CHAR(160)," "))),LOOKUP(2,1/((_xlpm.srcRows&lt;=_xlpm.subRow)*(_xlpm.typeKey=_xlpm.selectedTypeKey)*(_xlpm.srcAdjustRate&lt;&gt;"")),_xlpm.srcAdjustRate),""),
_xlpm.ventRate,IF(_xlpm.selVent=TRIM(SUBSTITUTE(Vitally!$O$22,CHAR(160)," ")),Vitally!$O$23,""),
_xlpm.louverRate,IF(OR(_xlpm.selLouver="",LEFT(_xlpm.selLouver,1)="▼"),"",IFERROR(_xlfn.XLOOKUP(_xlpm.selLouver,_xlfn._xlws.FILTER(_xlpm.srcLouver,_xlpm.serviceMask),_xlfn._xlws.FILTER(_xlpm.srcLouverRate,_xlpm.serviceMask),""),"")),
_xlpm.ecoRate,IF(OR(_xlpm.selEco="",LEFT(_xlpm.selEco,1)="▼"),"",IFERROR(LOOKUP(2,1/((_xlpm.srcRows&lt;=_xlpm.subRow)*(_xlpm.typeKey=_xlpm.selectedTypeKey)*(_xlpm.srcEcoRate&lt;&gt;"")),_xlpm.srcEcoRate),"")),
_xlpm.frameModifierCodes,TRIM(SUBSTITUTE(Vitally!$M$2:$M$4,CHAR(160)," ")),
_xlpm.frameModifierDesc,Vitally!$N$2:$N$4,
_xlpm.frameModifierUom,Vitally!$O$2:$O$4,
_xlpm.frameModifierRate,Vitally!$Q$2:$Q$4,
_xlpm.frameInstallCode,IF(_xlfn.XLOOKUP("SDF740_INSTALL_SET",_xlpm.frameModifierCodes,_xlpm.frameModifierRate,0)*_xlpm.panelQty&lt;_xlfn.XLOOKUP("SDF740_INSTALL_MIN_SITE",_xlpm.frameModifierCodes,_xlpm.frameModifierRate,0),"SDF740_INSTALL_MIN_SITE","SDF740_INSTALL_SET"),
_xlpm.serviceDesc,IF(AND(_xlpm.selectedTypeKey="SWINGDOORFRAME",UPPER(_xlpm.selService)="SUPPLY &amp; INSTALL"),_xlfn.XLOOKUP(_xlpm.frameInstallCode,_xlpm.frameModifierCodes,_xlpm.frameModifierDesc,""),_xlpm.selService),
_xlpm.serviceUom,IF(AND(_xlpm.selectedTypeKey="SWINGDOORFRAME",UPPER(_xlpm.selService)="SUPPLY &amp; INSTALL"),_xlfn.XLOOKUP(_xlpm.frameInstallCode,_xlpm.frameModifierCodes,_xlpm.frameModifierUom,""),"Set"),
_xlpm.serviceQty,IF(AND(_xlpm.selectedTypeKey="SWINGDOORFRAME",UPPER(_xlpm.selService)="SUPPLY &amp; INSTALL"),IF(_xlpm.frameInstallCode="SDF740_INSTALL_MIN_SITE",1,_xlpm.panelQty),_xlpm.panelQty),
_xlpm.serviceRate,IF(AND(_xlpm.selectedTypeKey="SWINGDOORFRAME",UPPER(_xlpm.selService)="SUPPLY &amp; INSTALL"),_xlfn.XLOOKUP(_xlpm.frameInstallCode,_xlpm.frameModifierCodes,_xlpm.frameModifierRate,0),_xlpm.sourceServiceRate),
_xlpm.includeActive,AND(_xlpm.selectedTypeKey="SWINGDOOR",_xlpm.selSub="830A",_xlpm.selInclude=TRIM(SUBSTITUTE(Vitally!$H$9,CHAR(160)," "))),
_xlpm.frame740Row,IFERROR(INDEX(_xlpm.srcRows,MATCH(1,(_xlpm.typeKey="SWINGDOORFRAME")*(_xlpm.srcSub="740A"),0)),""),
_xlpm.frame740Rate,IF(_xlpm.frame740Row="","",INDEX(Vitally!$E:$E,_xlpm.frame740Row)),
_xlpm.showRows,CHOOSE({1;2;3;4;5;6;7;8;9;10},
_xlpm.frameRate&lt;&gt;"",
_xlpm.panelRate&lt;&gt;"",
AND(_xlpm.serviceRate&lt;&gt;"",_xlpm.serviceRate&lt;&gt;0),
_xlpm.latticeRate&lt;&gt;"",
AND(_xlpm.option22Rate&lt;&gt;"",_xlpm.option22Rate&lt;&gt;0),
AND(_xlpm.option23Rate&lt;&gt;"",_xlpm.option23Rate&lt;&gt;0),
AND(_xlpm.ventRate&lt;&gt;"",_xlpm.ventRate&lt;&gt;0),
AND(_xlpm.louverRate&lt;&gt;"",_xlpm.louverRate&lt;&gt;0),
AND(_xlpm.ecoRate&lt;&gt;"",_xlpm.ecoRate&lt;&gt;0),
AND(_xlpm.includeActive,_xlpm.frame740Rate&lt;&gt;"",_xlpm.frame740Rate&lt;&gt;0)
),
_xlpm.descriptions,CHOOSE({1;2;3;4;5;6;7;8;9;10},
_xlpm.selSub&amp;" - Frame Only",
_xlpm.selPanel,
_xlpm.serviceDesc,
_xlpm.selLattice,
_xlpm.selOpt22,
_xlpm.selOpt23,
_xlpm.selVent,
_xlpm.selLouver,
_xlpm.selEco,
"740A - Swing Door Frame"
),
_xlpm.uoms,CHOOSE({1;2;3;4;5;6;7;8;9;10},
"Set","Set",_xlpm.serviceUom,"Set",_xlpm.option22Uom,"Pcs","Pcs","Set","Set","Set"
),
_xlpm.quantities,CHOOSE({1;2;3;4;5;6;7;8;9;10},
_xlpm.panelQty,_xlpm.panelQty,_xlpm.serviceQty,1,1,1,1,1,1,1
),
_xlpm.rates,CHOOSE({1;2;3;4;5;6;7;8;9;10},
_xlpm.frameRate,_xlpm.panelRate,_xlpm.serviceRate,_xlpm.latticeRate,_xlpm.option22Rate,_xlpm.option23Rate,_xlpm.ventRate,_xlpm.louverRate,_xlpm.ecoRate,_xlpm.frame740Rate
),
IF(_xlpm.supported,_xlfn._xlws.FILTER(CHOOSE({1,2,3,4},_xlpm.descriptions,_xlpm.uoms,_xlpm.quantities,_xlpm.rates),_xlpm.showRows),"")
),
""
)
)</f>
        <v/>
      </c>
      <c r="U541" s="404"/>
      <c r="V541" s="404"/>
      <c r="W541" s="423"/>
    </row>
    <row r="542" spans="1:23">
      <c r="A542" s="272" t="s">
        <v>253</v>
      </c>
      <c r="F542" s="367" t="str" cm="1">
        <f t="array" ref="F542">IF(OR(UPPER(TRIM(SUBSTITUTE(Enginuity!$A$1,CHAR(160)," ")))&lt;&gt;"VITALLY",TRIM(SUBSTITUTE(Enginuity!$A$18,CHAR(160)," "))=""),"",IFERROR(_xlfn.LET(_xlpm.srcType,TRIM(SUBSTITUTE(Vitally!$C$23:$C$1000,CHAR(160)," ")),_xlpm.srcSub,TRIM(SUBSTITUTE(Vitally!$D$23:$D$1000,CHAR(160)," ")),_xlpm.rowType,TRIM(SUBSTITUTE(LOOKUP(ROW(Vitally!$C$23:$C$1000),ROW(Vitally!$C$23:$C$1000)/(_xlpm.srcType&lt;&gt;""),_xlpm.srcType),CHAR(160)," ")),_xlpm.selType,TRIM(SUBSTITUTE(Enginuity!$A$18,CHAR(160)," ")),_xlpm.list,_xlfn.UNIQUE(_xlfn._xlws.FILTER(_xlpm.srcSub,(_xlpm.rowType=_xlpm.selType)*(_xlpm.srcSub&lt;&gt;"")*(LEFT(_xlpm.srcSub,1)&lt;&gt;"▼"))),INDEX(_xlpm.list,_xlfn.SEQUENCE(MIN(8,ROWS(_xlpm.list))))),""))</f>
        <v/>
      </c>
      <c r="G542" s="367" t="str" cm="1">
        <f t="array" ref="G542">IF(
  G541="",
  "",
  _xlfn.LET(
    _xlpm.typ,UPPER(SUBSTITUTE(SUBSTITUTE(TRIM(SUBSTITUTE(Enginuity!$A$18,CHAR(160)," ")),"-","")," ","")),
    _xlfn.SWITCH(
      _xlpm.typ,
      "BIFOLD",Vitally!$M$22,
      "SWINGDOOR",Vitally!$M$59,
      ""
    )
  )
)</f>
        <v/>
      </c>
      <c r="H542" s="367" t="str" cm="1">
        <f t="array" ref="H542">IF(INDEX(H:H,ROW()-1)="","",Vitally!$N$22)</f>
        <v/>
      </c>
      <c r="I542" s="367" t="str" cm="1">
        <f t="array" ref="I542">IF(INDEX(I:I,ROW()-1)="","",Vitally!$O$22)</f>
        <v/>
      </c>
      <c r="K542" s="367" t="str">
        <f>IF(K541="","",Vitally!$R$22)</f>
        <v/>
      </c>
      <c r="L542" s="367" t="str">
        <f>IF(L541="","",Vitally!$H$9)</f>
        <v/>
      </c>
      <c r="P542" s="1" t="str" cm="1">
        <f t="array" ref="P542">IF(AND(UPPER(TRIM(SUBSTITUTE(Enginuity!$A$1,CHAR(160)," ")))="VITALLY",TRIM(INDEX($T:$T,ROW()))&lt;&gt;"",INDEX($V:$V,ROW())&lt;&gt;"",INDEX($V:$V,ROW())&lt;&gt;0,INDEX($W:$W,ROW())&lt;&gt;"",INDEX($W:$W,ROW())&lt;&gt;0),ROW(),"")</f>
        <v/>
      </c>
      <c r="W542" s="421"/>
    </row>
    <row r="543" spans="1:23">
      <c r="A543" s="272" t="s">
        <v>253</v>
      </c>
      <c r="P543" s="1" t="str" cm="1">
        <f t="array" ref="P543">IF(AND(UPPER(TRIM(SUBSTITUTE(Enginuity!$A$1,CHAR(160)," ")))="VITALLY",TRIM(INDEX($T:$T,ROW()))&lt;&gt;"",INDEX($V:$V,ROW())&lt;&gt;"",INDEX($V:$V,ROW())&lt;&gt;0,INDEX($W:$W,ROW())&lt;&gt;"",INDEX($W:$W,ROW())&lt;&gt;0),ROW(),"")</f>
        <v/>
      </c>
      <c r="W543" s="421"/>
    </row>
    <row r="544" spans="1:23">
      <c r="A544" s="272" t="s">
        <v>253</v>
      </c>
      <c r="P544" s="1" t="str" cm="1">
        <f t="array" ref="P544">IF(AND(UPPER(TRIM(SUBSTITUTE(Enginuity!$A$1,CHAR(160)," ")))="VITALLY",TRIM(INDEX($T:$T,ROW()))&lt;&gt;"",INDEX($V:$V,ROW())&lt;&gt;"",INDEX($V:$V,ROW())&lt;&gt;0,INDEX($W:$W,ROW())&lt;&gt;"",INDEX($W:$W,ROW())&lt;&gt;0),ROW(),"")</f>
        <v/>
      </c>
      <c r="W544" s="421"/>
    </row>
    <row r="545" spans="1:23">
      <c r="A545" s="272" t="s">
        <v>253</v>
      </c>
      <c r="P545" s="1" t="str" cm="1">
        <f t="array" ref="P545">IF(AND(UPPER(TRIM(SUBSTITUTE(Enginuity!$A$1,CHAR(160)," ")))="VITALLY",TRIM(INDEX($T:$T,ROW()))&lt;&gt;"",INDEX($V:$V,ROW())&lt;&gt;"",INDEX($V:$V,ROW())&lt;&gt;0,INDEX($W:$W,ROW())&lt;&gt;"",INDEX($W:$W,ROW())&lt;&gt;0),ROW(),"")</f>
        <v/>
      </c>
      <c r="W545" s="421"/>
    </row>
    <row r="546" spans="1:23">
      <c r="A546" s="272" t="s">
        <v>253</v>
      </c>
      <c r="P546" s="1" t="str" cm="1">
        <f t="array" ref="P546">IF(AND(UPPER(TRIM(SUBSTITUTE(Enginuity!$A$1,CHAR(160)," ")))="VITALLY",TRIM(INDEX($T:$T,ROW()))&lt;&gt;"",INDEX($V:$V,ROW())&lt;&gt;"",INDEX($V:$V,ROW())&lt;&gt;0,INDEX($W:$W,ROW())&lt;&gt;"",INDEX($W:$W,ROW())&lt;&gt;0),ROW(),"")</f>
        <v/>
      </c>
      <c r="W546" s="421"/>
    </row>
    <row r="547" spans="1:23">
      <c r="A547" s="272" t="s">
        <v>253</v>
      </c>
      <c r="P547" s="1" t="str" cm="1">
        <f t="array" ref="P547">IF(AND(UPPER(TRIM(SUBSTITUTE(Enginuity!$A$1,CHAR(160)," ")))="VITALLY",TRIM(INDEX($T:$T,ROW()))&lt;&gt;"",INDEX($V:$V,ROW())&lt;&gt;"",INDEX($V:$V,ROW())&lt;&gt;0,INDEX($W:$W,ROW())&lt;&gt;"",INDEX($W:$W,ROW())&lt;&gt;0),ROW(),"")</f>
        <v/>
      </c>
      <c r="W547" s="421"/>
    </row>
    <row r="548" spans="1:23">
      <c r="A548" s="272" t="s">
        <v>253</v>
      </c>
      <c r="P548" s="1" t="str" cm="1">
        <f t="array" ref="P548">IF(AND(UPPER(TRIM(SUBSTITUTE(Enginuity!$A$1,CHAR(160)," ")))="VITALLY",TRIM(INDEX($T:$T,ROW()))&lt;&gt;"",INDEX($V:$V,ROW())&lt;&gt;"",INDEX($V:$V,ROW())&lt;&gt;0,INDEX($W:$W,ROW())&lt;&gt;"",INDEX($W:$W,ROW())&lt;&gt;0),ROW(),"")</f>
        <v/>
      </c>
      <c r="W548" s="421"/>
    </row>
    <row r="549" spans="1:23">
      <c r="A549" s="272" t="s">
        <v>253</v>
      </c>
      <c r="P549" s="1" t="str" cm="1">
        <f t="array" ref="P549">IF(AND(UPPER(TRIM(SUBSTITUTE(Enginuity!$A$1,CHAR(160)," ")))="VITALLY",TRIM(INDEX($T:$T,ROW()))&lt;&gt;"",INDEX($V:$V,ROW())&lt;&gt;"",INDEX($V:$V,ROW())&lt;&gt;0,INDEX($W:$W,ROW())&lt;&gt;"",INDEX($W:$W,ROW())&lt;&gt;0),ROW(),"")</f>
        <v/>
      </c>
      <c r="W549" s="421"/>
    </row>
    <row r="550" spans="1:23">
      <c r="A550" s="272" t="s">
        <v>253</v>
      </c>
      <c r="F550" s="367" t="str">
        <f>"▼ [Lattice Option]"</f>
        <v>▼ [Lattice Option]</v>
      </c>
      <c r="P550" s="1" t="str" cm="1">
        <f t="array" ref="P550">IF(AND(UPPER(TRIM(SUBSTITUTE(Enginuity!$A$1,CHAR(160)," ")))="VITALLY",TRIM(INDEX($T:$T,ROW()))&lt;&gt;"",INDEX($V:$V,ROW())&lt;&gt;"",INDEX($V:$V,ROW())&lt;&gt;0,INDEX($W:$W,ROW())&lt;&gt;"",INDEX($W:$W,ROW())&lt;&gt;0),ROW(),"")</f>
        <v/>
      </c>
      <c r="W550" s="421"/>
    </row>
    <row r="551" spans="1:23">
      <c r="A551" s="272" t="s">
        <v>253</v>
      </c>
      <c r="F551" s="367" t="str" cm="1">
        <f t="array" ref="F551">IF(OR(UPPER(TRIM(SUBSTITUTE(Enginuity!$A$1,CHAR(160)," ")))&lt;&gt;"VITALLY",TRIM(SUBSTITUTE(Enginuity!$A$18,CHAR(160)," "))="",TRIM(SUBSTITUTE(Enginuity!$B$18,CHAR(160)," "))=""),"",IFERROR(_xlfn.LET(_xlpm.srcType,TRIM(SUBSTITUTE(Vitally!$C$23:$C$1000,CHAR(160)," ")),_xlpm.srcSub,TRIM(SUBSTITUTE(Vitally!$D$23:$D$1000,CHAR(160)," ")),_xlpm.srcLattice,TRIM(SUBSTITUTE(Vitally!$K$23:$K$1000,CHAR(160)," ")),_xlpm.r,ROW(Vitally!$C$23:$C$1000),_xlpm.rowType,TRIM(SUBSTITUTE(LOOKUP(_xlpm.r,_xlpm.r/(_xlpm.srcType&lt;&gt;""),_xlpm.srcType),CHAR(160)," ")),_xlpm.selType,TRIM(SUBSTITUTE(Enginuity!$A$18,CHAR(160)," ")),_xlpm.selSub,TRIM(SUBSTITUTE(Enginuity!$B$18,CHAR(160)," ")),_xlpm.validSub,SUMPRODUCT(--(_xlpm.rowType=_xlpm.selType),--(_xlpm.srcSub=_xlpm.selSub))&gt;0,_xlpm.list,_xlfn.UNIQUE(_xlfn._xlws.FILTER(_xlpm.srcLattice,(_xlpm.rowType=_xlpm.selType)*(_xlpm.srcLattice&lt;&gt;"")*(LEFT(_xlpm.srcLattice,1)&lt;&gt;"▼"))),IF(_xlpm.validSub,INDEX(_xlpm.list,_xlfn.SEQUENCE(MIN(8,ROWS(_xlpm.list)))),"")),""))</f>
        <v/>
      </c>
      <c r="P551" s="1" t="str" cm="1">
        <f t="array" ref="P551">IF(AND(UPPER(TRIM(SUBSTITUTE(Enginuity!$A$1,CHAR(160)," ")))="VITALLY",TRIM(INDEX($T:$T,ROW()))&lt;&gt;"",INDEX($V:$V,ROW())&lt;&gt;"",INDEX($V:$V,ROW())&lt;&gt;0,INDEX($W:$W,ROW())&lt;&gt;"",INDEX($W:$W,ROW())&lt;&gt;0),ROW(),"")</f>
        <v/>
      </c>
      <c r="W551" s="421"/>
    </row>
    <row r="552" spans="1:23">
      <c r="A552" s="272" t="s">
        <v>253</v>
      </c>
      <c r="P552" s="1" t="str" cm="1">
        <f t="array" ref="P552">IF(AND(UPPER(TRIM(SUBSTITUTE(Enginuity!$A$1,CHAR(160)," ")))="VITALLY",TRIM(INDEX($T:$T,ROW()))&lt;&gt;"",INDEX($V:$V,ROW())&lt;&gt;"",INDEX($V:$V,ROW())&lt;&gt;0,INDEX($W:$W,ROW())&lt;&gt;"",INDEX($W:$W,ROW())&lt;&gt;0),ROW(),"")</f>
        <v/>
      </c>
      <c r="W552" s="421"/>
    </row>
    <row r="553" spans="1:23">
      <c r="A553" s="272" t="s">
        <v>253</v>
      </c>
      <c r="P553" s="1" t="str" cm="1">
        <f t="array" ref="P553">IF(AND(UPPER(TRIM(SUBSTITUTE(Enginuity!$A$1,CHAR(160)," ")))="VITALLY",TRIM(INDEX($T:$T,ROW()))&lt;&gt;"",INDEX($V:$V,ROW())&lt;&gt;"",INDEX($V:$V,ROW())&lt;&gt;0,INDEX($W:$W,ROW())&lt;&gt;"",INDEX($W:$W,ROW())&lt;&gt;0),ROW(),"")</f>
        <v/>
      </c>
      <c r="W553" s="421"/>
    </row>
    <row r="554" spans="1:23">
      <c r="A554" s="272" t="s">
        <v>253</v>
      </c>
      <c r="P554" s="1" t="str" cm="1">
        <f t="array" ref="P554">IF(AND(UPPER(TRIM(SUBSTITUTE(Enginuity!$A$1,CHAR(160)," ")))="VITALLY",TRIM(INDEX($T:$T,ROW()))&lt;&gt;"",INDEX($V:$V,ROW())&lt;&gt;"",INDEX($V:$V,ROW())&lt;&gt;0,INDEX($W:$W,ROW())&lt;&gt;"",INDEX($W:$W,ROW())&lt;&gt;0),ROW(),"")</f>
        <v/>
      </c>
      <c r="W554" s="421"/>
    </row>
    <row r="555" spans="1:23">
      <c r="A555" s="272" t="s">
        <v>253</v>
      </c>
      <c r="E555" s="367" t="str" cm="1">
        <f t="array" ref="E555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INDEX(_xlpm.vPanel,ROWS($E$121:E555))
),"")</f>
        <v/>
      </c>
      <c r="P555" s="1" t="str" cm="1">
        <f t="array" ref="P555">IF(AND(UPPER(TRIM(SUBSTITUTE(Enginuity!$A$1,CHAR(160)," ")))="VITALLY",TRIM(INDEX($T:$T,ROW()))&lt;&gt;"",INDEX($V:$V,ROW())&lt;&gt;"",INDEX($V:$V,ROW())&lt;&gt;0,INDEX($W:$W,ROW())&lt;&gt;"",INDEX($W:$W,ROW())&lt;&gt;0),ROW(),"")</f>
        <v/>
      </c>
      <c r="W555" s="421"/>
    </row>
    <row r="556" spans="1:23">
      <c r="A556" s="272" t="s">
        <v>253</v>
      </c>
      <c r="E556" s="367" t="str" cm="1">
        <f t="array" ref="E556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INDEX(_xlpm.vPanel,ROWS($E$121:E556))
),"")</f>
        <v/>
      </c>
      <c r="P556" s="1" t="str" cm="1">
        <f t="array" ref="P556">IF(AND(UPPER(TRIM(SUBSTITUTE(Enginuity!$A$1,CHAR(160)," ")))="VITALLY",TRIM(INDEX($T:$T,ROW()))&lt;&gt;"",INDEX($V:$V,ROW())&lt;&gt;"",INDEX($V:$V,ROW())&lt;&gt;0,INDEX($W:$W,ROW())&lt;&gt;"",INDEX($W:$W,ROW())&lt;&gt;0),ROW(),"")</f>
        <v/>
      </c>
      <c r="R556" s="1" t="str" cm="1">
        <f t="array" ref="R556">IFERROR(INDEX(_xlfn.ANCHORARRAY(T556),0,1),"")</f>
        <v/>
      </c>
      <c r="T556" s="1" t="str" cm="1">
        <f t="array" ref="T556">IF(OR(UPPER(TRIM(SUBSTITUTE(Enginuity!$A$1,CHAR(160)," ")))&lt;&gt;"VITALLY",TRIM(SUBSTITUTE(Enginuity!$A$18,CHAR(160)," "))="",TRIM(SUBSTITUTE(Enginuity!$B$18,CHAR(160)," "))=""),"",IFERROR(_xlfn.LET(
_xlpm.typ,TRIM(SUBSTITUTE(Enginuity!$A$18,CHAR(160)," ")),
_xlpm.sub,TRIM(SUBSTITUTE(Enginuity!$B$18,CHAR(160)," ")),
_xlpm.svc,TRIM(SUBSTITUTE(Enginuity!$A$17,CHAR(160)," ")),
_xlpm.pnl,TRIM(SUBSTITUTE(Enginuity!$A$20,CHAR(160)," ")),
_xlpm.lat,TRIM(SUBSTITUTE(Enginuity!$A$21,CHAR(160)," ")),
_xlpm.eco,TRIM(SUBSTITUTE(Enginuity!$A$26,CHAR(160)," ")),
_xlpm.inc,TRIM(SUBSTITUTE(Enginuity!$A$27,CHAR(160)," ")),
_xlpm.pq,MAX(1,N(Enginuity!$B$13)),
_xlpm.wid,N(Enginuity!$B$6),
_xlpm.hgt,N(Enginuity!$B$7),
_xlpm.st,TRIM(SUBSTITUTE(Vitally!$C$23:$C$1000,CHAR(160)," ")),
_xlpm.ss,TRIM(SUBSTITUTE(Vitally!$D$23:$D$1000,CHAR(160)," ")),
_xlpm.vs,TRIM(SUBSTITUTE(Vitally!$A$23:$A$1000,CHAR(160)," ")),
_xlpm.vp,Vitally!$B$23:$B$1000,
_xlpm.rw,ROW(Vitally!$C$23:$C$1000),
_xlpm.ft,TRIM(SUBSTITUTE(LOOKUP(_xlpm.rw,_xlpm.rw/(_xlpm.st&lt;&gt;""),_xlpm.st),CHAR(160)," ")),
_xlpm.fs,TRIM(SUBSTITUTE(LOOKUP(_xlpm.rw,_xlpm.rw/(_xlpm.ss&lt;&gt;""),_xlpm.ss),CHAR(160)," ")),
_xlpm.tk,UPPER(SUBSTITUTE(SUBSTITUTE(_xlpm.ft,"-","")," ","")),
_xlpm.sk,UPPER(SUBSTITUTE(SUBSTITUTE(_xlpm.typ,"-","")," ","")),
_xlpm.sr,INDEX(_xlpm.rw,MATCH(1,(_xlpm.tk=_xlpm.sk)*(_xlpm.ss=_xlpm.sub),0)),
_xlpm.gap,INDEX(Vitally!$G:$G,_xlpm.sr),
_xlpm.bf,_xlpm.sk="BIFOLD",
_xlpm.sw,_xlpm.sk="SWINGDOOR",
_xlpm.df,_xlpm.sk="SWINGDOORFRAME",
_xlpm.sl,_xlpm.sk="SUSPENDEDSLIDINGDOOR",
_xlpm.door,OR(_xlpm.bf,_xlpm.sw,_xlpm.sl),
_xlpm.pc,AND(_xlpm.pnl&lt;&gt;"",LEFT(_xlpm.pnl,1)&lt;&gt;"▼"),
_xlpm.fl,ISNUMBER(SEARCH("FULL LOUVERS",UPPER(_xlpm.pnl))),
_xlpm.bw,_xlpm.gap/304.8*_xlpm.pq,
_xlpm.mc,TRIM(SUBSTITUTE(Vitally!$A$2:$A$17,CHAR(160)," ")),
_xlpm.md,Vitally!$B$2:$B$17,
_xlpm.mu,Vitally!$C$2:$C$17,
_xlpm.mr,Vitally!$E$2:$E$17,
_xlpm.wc,TRIM(SUBSTITUTE(Vitally!$G$2:$G$9,CHAR(160)," ")),
_xlpm.wd,Vitally!$H$2:$H$9,
_xlpm.wu,Vitally!$I$2:$I$9,
_xlpm.wr,Vitally!$K$2:$K$9,
_xlpm.fc,TRIM(SUBSTITUTE(Vitally!$M$2:$M$4,CHAR(160)," ")),
_xlpm.fd,Vitally!$N$2:$N$4,
_xlpm.fu,Vitally!$O$2:$O$4,
_xlpm.fp,Vitally!$Q$2:$Q$4,
_xlpm.aq,IF(OR(_xlpm.df,_xlpm.wid=0,_xlpm.hgt=0),0,ROUNDUP(MAX(0,MAX(_xlpm.wid,_xlpm.bw)*MIN(MAX(_xlpm.hgt,7),8)-_xlpm.bw*7),0)),
_xlpm.ac,IF(_xlpm.sw,IF(_xlpm.fl,"SWG_ADD_SIZE_FULL_LOUVERS",IF(_xlpm.pc,"SWG_ADD_SIZE_COMPLETE","SWG_ADD_SIZE_FRAME_ONLY")),IF(_xlpm.fl,"ADD_SIZE_FULL_LOUVERS",IF(_xlpm.pc,"ADD_SIZE_COMPLETE","ADD_SIZE_FRAME_ONLY"))),
_xlpm.ad,IF(_xlpm.sw,_xlfn.XLOOKUP(_xlpm.ac,_xlpm.wc,_xlpm.wd,""),_xlfn.XLOOKUP(_xlpm.ac,_xlpm.mc,_xlpm.md,"")),
_xlpm.au,IF(_xlpm.sw,_xlfn.XLOOKUP(_xlpm.ac,_xlpm.wc,_xlpm.wu,""),_xlfn.XLOOKUP(_xlpm.ac,_xlpm.mc,_xlpm.mu,"")),
_xlpm.ap,IF(_xlpm.sw,_xlfn.XLOOKUP(_xlpm.ac,_xlpm.wc,_xlpm.wr,""),_xlfn.XLOOKUP(_xlpm.ac,_xlpm.mc,_xlpm.mr,"")),
_xlpm.dq,IF(_xlpm.df,CEILING(MAX(0,_xlpm.wid*12-34),3)/3+CEILING(MAX(0,_xlpm.hgt*12-84),3)/3,0),
_xlpm.dd,_xlfn.XLOOKUP("SDF740_ADD_SIZE_STEP",_xlpm.fc,_xlpm.fd,""),
_xlpm.du,_xlfn.XLOOKUP("SDF740_ADD_SIZE_STEP",_xlpm.fc,_xlpm.fu,""),
_xlpm.dp,_xlfn.XLOOKUP("SDF740_ADD_SIZE_STEP",_xlpm.fc,_xlpm.fp,""),
_xlpm.hq,IF(AND(_xlpm.door,_xlpm.wid&gt;0,_xlpm.hgt&gt;8),MAX((_xlpm.hgt-8)*_xlpm.wid,3),0),
_xlpm.pk,UPPER(_xlpm.pnl),
_xlpm.hc,_xlfn.SWITCH(TRUE,NOT(_xlpm.pc),"HFIX_FRAME_ONLY",_xlpm.fl,"HFIX_FRAME_ONLY",ISNUMBER(SEARCH("ECOBONZ",_xlpm.pk)),"HFIX_ECOBONZ",ISNUMBER(SEARCH("N.CLEAR GLASS",_xlpm.pk)),"HFIX_CLEAR_GLASS",ISNUMBER(SEARCH("ECOSCREEN",_xlpm.pk)),"HFIX_ECOSCREEN",OR(ISNUMBER(SEARCH("N.GLASS + LAMINA",_xlpm.pk)),ISNUMBER(SEARCH("N.DARK GREY",_xlpm.pk))),"HFIX_LAMINA_DARK_GREY",ISNUMBER(SEARCH("ECOPOLY",_xlpm.pk)),"HFIX_ECOPOLY",ISNUMBER(SEARCH("AEROLITE",_xlpm.pk)),"HFIX_AEROLITE",ISNUMBER(SEARCH("TEMPERED GLASS",_xlpm.pk)),"HFIX_TEMPERED_GLASS",ISNUMBER(SEARCH("COMPOSITE",_xlpm.pk)),"HFIX_COMPOSITE",""),
_xlpm.hd,_xlfn.XLOOKUP(_xlpm.hc,_xlpm.mc,_xlpm.md,""),
_xlpm.hu,_xlfn.XLOOKUP(_xlpm.hc,_xlpm.mc,_xlpm.mu,""),
_xlpm.hp,_xlfn.XLOOKUP(_xlpm.hc,_xlpm.mc,_xlpm.mr,""),
_xlpm.ex,AND(_xlpm.eco&lt;&gt;"",LEFT(_xlpm.eco,1)&lt;&gt;"▼"),
_xlpm.lx,AND(_xlpm.lat&lt;&gt;"",LEFT(_xlpm.lat,1)&lt;&gt;"▼"),
_xlpm.ed,_xlfn.XLOOKUP("HFIX_ECO_ART_ADD",_xlpm.mc,_xlpm.md,""),
_xlpm.eu,_xlfn.XLOOKUP("HFIX_ECO_ART_ADD",_xlpm.mc,_xlpm.mu,""),
_xlpm.ep,_xlfn.XLOOKUP("HFIX_ECO_ART_ADD",_xlpm.mc,_xlpm.mr,""),
_xlpm.ld,_xlfn.XLOOKUP("HFIX_LATTICE_ADD",_xlpm.mc,_xlpm.md,""),
_xlpm.lu,_xlfn.XLOOKUP("HFIX_LATTICE_ADD",_xlpm.mc,_xlpm.mu,""),
_xlpm.lp,_xlfn.XLOOKUP("HFIX_LATTICE_ADD",_xlpm.mc,_xlpm.mr,""),
_xlpm.ir,_xlfn.XLOOKUP("HFIX_INSTALL_SET",_xlpm.mc,_xlpm.mr,0),
_xlpm.im,_xlfn.XLOOKUP("HFIX_INSTALL_MIN_SITE",_xlpm.mc,_xlpm.mr,0),
_xlpm.ic,IF(_xlpm.ir*_xlpm.pq&lt;_xlpm.im,"HFIX_INSTALL_MIN_SITE","HFIX_INSTALL_SET"),
_xlpm.idc,_xlfn.XLOOKUP(_xlpm.ic,_xlpm.mc,_xlpm.md,""),
_xlpm.iu,_xlfn.XLOOKUP(_xlpm.ic,_xlpm.mc,_xlpm.mu,""),
_xlpm.iq,IF(_xlpm.ic="HFIX_INSTALL_MIN_SITE",1,_xlpm.pq),
_xlpm.ip,_xlfn.XLOOKUP(_xlpm.ic,_xlpm.mc,_xlpm.mr,0),
_xlpm.auto,OR(AND(_xlpm.sw,_xlpm.pq=2),AND(_xlpm.sl,OR(_xlpm.pq=2,_xlpm.pq=4))),
_xlpm.dustd,_xlfn.XLOOKUP("SWG_DUST_SOCKET",_xlpm.wc,_xlpm.wd,""),
_xlpm.dustu,_xlfn.XLOOKUP("SWG_DUST_SOCKET",_xlpm.wc,_xlpm.wu,""),
_xlpm.dustp,_xlfn.XLOOKUP("SWG_DUST_SOCKET",_xlpm.wc,_xlpm.wr,0),
_xlpm.flashd,_xlfn.XLOOKUP("SWG_FLASH_BOLT",_xlpm.wc,_xlpm.wd,""),
_xlpm.flashu,_xlfn.XLOOKUP("SWG_FLASH_BOLT",_xlpm.wc,_xlpm.wu,""),
_xlpm.flashp,_xlfn.XLOOKUP("SWG_FLASH_BOLT",_xlpm.wc,_xlpm.wr,0),
_xlpm.incl,AND(_xlpm.sw,_xlpm.sub="830A",_xlpm.inc=TRIM(SUBSTITUTE(Vitally!$H$9,CHAR(160)," "))),
_xlpm.isq,CEILING(MAX(0,_xlpm.wid*12-34),3)/3+CEILING(MAX(0,_xlpm.hgt*12-84),3)/3,
_xlpm.isd,_xlfn.XLOOKUP("SDF740_ADD_SIZE_STEP",_xlpm.fc,_xlpm.fd,""),
_xlpm.isu,_xlfn.XLOOKUP("SDF740_ADD_SIZE_STEP",_xlpm.fc,_xlpm.fu,""),
_xlpm.isp,_xlfn.XLOOKUP("SDF740_ADD_SIZE_STEP",_xlpm.fc,_xlpm.fp,""),
_xlpm.frameSvcRate,IFERROR(_xlfn.XLOOKUP(1,(_xlpm.tk="SWINGDOORFRAME")*(_xlpm.fs="740A")*(UPPER(_xlpm.vs)=UPPER(_xlpm.svc)),_xlpm.vp,""),""),
_xlpm.fic,IF(_xlfn.XLOOKUP("SDF740_INSTALL_SET",_xlpm.fc,_xlpm.fp,0)&lt;_xlfn.XLOOKUP("SDF740_INSTALL_MIN_SITE",_xlpm.fc,_xlpm.fp,0),"SDF740_INSTALL_MIN_SITE","SDF740_INSTALL_SET"),
_xlpm.fsd,IF(UPPER(_xlpm.svc)="SUPPLY &amp; INSTALL",_xlfn.XLOOKUP(_xlpm.fic,_xlpm.fc,_xlpm.fd,""),"740A - "&amp;_xlpm.svc),
_xlpm.fsu,IF(UPPER(_xlpm.svc)="SUPPLY &amp; INSTALL",_xlfn.XLOOKUP(_xlpm.fic,_xlpm.fc,_xlpm.fu,""),"Set"),
_xlpm.fsq,1,
_xlpm.fsp,IF(UPPER(_xlpm.svc)="SUPPLY &amp; INSTALL",_xlfn.XLOOKUP(_xlpm.fic,_xlpm.fc,_xlpm.fp,0),_xlpm.frameSvcRate),
_xlpm.show,CHOOSE({1;2;3;4;5;6;7;8;9;10},
AND(OR(_xlpm.bf,_xlpm.sw,_xlpm.sl),_xlpm.aq&gt;0,_xlpm.ap&lt;&gt;"",_xlpm.ap&lt;&gt;0),
AND(_xlpm.df,_xlpm.dq&gt;0,_xlpm.dp&lt;&gt;"",_xlpm.dp&lt;&gt;0),
AND(_xlpm.hq&gt;0,_xlpm.hp&lt;&gt;"",_xlpm.hp&lt;&gt;0),
AND(_xlpm.hq&gt;0,_xlpm.ex,_xlpm.ep&lt;&gt;"",_xlpm.ep&lt;&gt;0),
AND(_xlpm.hq&gt;0,_xlpm.lx,_xlpm.lp&lt;&gt;"",_xlpm.lp&lt;&gt;0),
AND(_xlpm.hq&gt;0,UPPER(_xlpm.svc)="SUPPLY &amp; INSTALL",_xlpm.ip&lt;&gt;0),
AND(_xlpm.auto,_xlpm.dustp&lt;&gt;0),
AND(_xlpm.auto,_xlpm.flashp&lt;&gt;0),
AND(_xlpm.incl,_xlpm.isq&gt;0,_xlpm.isp&lt;&gt;"",_xlpm.isp&lt;&gt;0),
AND(_xlpm.incl,_xlpm.fsp&lt;&gt;"",_xlpm.fsp&lt;&gt;0)
),
_xlpm.ds,CHOOSE({1;2;3;4;5;6;7;8;9;10},_xlpm.ad,_xlpm.dd,_xlpm.hd,_xlpm.ed,_xlpm.ld,_xlpm.idc,_xlpm.dustd,_xlpm.flashd,_xlpm.isd,_xlpm.fsd),
_xlpm.um,CHOOSE({1;2;3;4;5;6;7;8;9;10},_xlpm.au,_xlpm.du,_xlpm.hu,_xlpm.eu,_xlpm.lu,_xlpm.iu,_xlpm.dustu,_xlpm.flashu,_xlpm.isu,_xlpm.fsu),
_xlpm.qt,CHOOSE({1;2;3;4;5;6;7;8;9;10},_xlpm.aq,_xlpm.dq,_xlpm.hq,_xlpm.hq,_xlpm.hq,_xlpm.iq,1,1,_xlpm.isq,_xlpm.fsq),
_xlpm.rt,CHOOSE({1;2;3;4;5;6;7;8;9;10},_xlpm.ap,_xlpm.dp,_xlpm.hp,_xlpm.ep,_xlpm.lp,_xlpm.ip,_xlpm.dustp,_xlpm.flashp,_xlpm.isp,_xlpm.fsp),
_xlfn._xlws.FILTER(CHOOSE({1,2,3,4},_xlpm.ds,_xlpm.um,_xlpm.qt,_xlpm.rt),_xlpm.show)
),""))</f>
        <v/>
      </c>
      <c r="W556" s="421"/>
    </row>
    <row r="557" spans="1:23">
      <c r="A557" s="272" t="s">
        <v>253</v>
      </c>
      <c r="E557" s="367" t="str" cm="1">
        <f t="array" ref="E557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INDEX(_xlpm.vPanel,ROWS($E$121:E557))
),"")</f>
        <v/>
      </c>
      <c r="P557" s="1" t="str" cm="1">
        <f t="array" ref="P557">IF(AND(UPPER(TRIM(SUBSTITUTE(Enginuity!$A$1,CHAR(160)," ")))="VITALLY",TRIM(INDEX($T:$T,ROW()))&lt;&gt;"",INDEX($V:$V,ROW())&lt;&gt;"",INDEX($V:$V,ROW())&lt;&gt;0,INDEX($W:$W,ROW())&lt;&gt;"",INDEX($W:$W,ROW())&lt;&gt;0),ROW(),"")</f>
        <v/>
      </c>
      <c r="W557" s="421"/>
    </row>
    <row r="558" spans="1:23">
      <c r="A558" s="272" t="s">
        <v>253</v>
      </c>
      <c r="E558" s="367" t="str" cm="1">
        <f t="array" ref="E558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INDEX(_xlpm.vPanel,ROWS($E$121:E558))
),"")</f>
        <v/>
      </c>
      <c r="P558" s="1" t="str" cm="1">
        <f t="array" ref="P558">IF(AND(UPPER(TRIM(SUBSTITUTE(Enginuity!$A$1,CHAR(160)," ")))="VITALLY",TRIM(INDEX($T:$T,ROW()))&lt;&gt;"",INDEX($V:$V,ROW())&lt;&gt;"",INDEX($V:$V,ROW())&lt;&gt;0,INDEX($W:$W,ROW())&lt;&gt;"",INDEX($W:$W,ROW())&lt;&gt;0),ROW(),"")</f>
        <v/>
      </c>
      <c r="W558" s="421"/>
    </row>
    <row r="559" spans="1:23">
      <c r="A559" s="272" t="s">
        <v>253</v>
      </c>
      <c r="E559" s="367" t="str" cm="1">
        <f t="array" ref="E559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INDEX(_xlpm.vPanel,ROWS($E$121:E559))
),"")</f>
        <v/>
      </c>
      <c r="P559" s="1" t="str" cm="1">
        <f t="array" ref="P559">IF(AND(UPPER(TRIM(SUBSTITUTE(Enginuity!$A$1,CHAR(160)," ")))="VITALLY",TRIM(INDEX($T:$T,ROW()))&lt;&gt;"",INDEX($V:$V,ROW())&lt;&gt;"",INDEX($V:$V,ROW())&lt;&gt;0,INDEX($W:$W,ROW())&lt;&gt;"",INDEX($W:$W,ROW())&lt;&gt;0),ROW(),"")</f>
        <v/>
      </c>
      <c r="W559" s="421"/>
    </row>
    <row r="560" spans="1:23">
      <c r="A560" s="272" t="s">
        <v>253</v>
      </c>
      <c r="E560" s="367" t="str" cm="1">
        <f t="array" ref="E560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INDEX(_xlpm.vPanel,ROWS($E$121:E560))
),"")</f>
        <v/>
      </c>
      <c r="P560" s="1" t="str" cm="1">
        <f t="array" ref="P560">IF(AND(UPPER(TRIM(SUBSTITUTE(Enginuity!$A$1,CHAR(160)," ")))="VITALLY",TRIM(INDEX($T:$T,ROW()))&lt;&gt;"",INDEX($V:$V,ROW())&lt;&gt;"",INDEX($V:$V,ROW())&lt;&gt;0,INDEX($W:$W,ROW())&lt;&gt;"",INDEX($W:$W,ROW())&lt;&gt;0),ROW(),"")</f>
        <v/>
      </c>
      <c r="W560" s="421"/>
    </row>
    <row r="561" spans="1:23">
      <c r="A561" s="272" t="s">
        <v>253</v>
      </c>
      <c r="E561" s="367" t="str" cm="1">
        <f t="array" ref="E561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INDEX(_xlpm.vPanel,ROWS($E$121:E561))
),"")</f>
        <v/>
      </c>
      <c r="P561" s="1" t="str" cm="1">
        <f t="array" ref="P561">IF(AND(UPPER(TRIM(SUBSTITUTE(Enginuity!$A$1,CHAR(160)," ")))="VITALLY",TRIM(INDEX($T:$T,ROW()))&lt;&gt;"",INDEX($V:$V,ROW())&lt;&gt;"",INDEX($V:$V,ROW())&lt;&gt;0,INDEX($W:$W,ROW())&lt;&gt;"",INDEX($W:$W,ROW())&lt;&gt;0),ROW(),"")</f>
        <v/>
      </c>
      <c r="W561" s="421"/>
    </row>
    <row r="562" spans="1:23">
      <c r="A562" s="272" t="s">
        <v>253</v>
      </c>
      <c r="E562" s="367" t="str" cm="1">
        <f t="array" ref="E562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INDEX(_xlpm.vPanel,ROWS($E$121:E562))
),"")</f>
        <v/>
      </c>
      <c r="P562" s="1" t="str" cm="1">
        <f t="array" ref="P562">IF(AND(UPPER(TRIM(SUBSTITUTE(Enginuity!$A$1,CHAR(160)," ")))="VITALLY",TRIM(INDEX($T:$T,ROW()))&lt;&gt;"",INDEX($V:$V,ROW())&lt;&gt;"",INDEX($V:$V,ROW())&lt;&gt;0,INDEX($W:$W,ROW())&lt;&gt;"",INDEX($W:$W,ROW())&lt;&gt;0),ROW(),"")</f>
        <v/>
      </c>
      <c r="W562" s="421"/>
    </row>
    <row r="563" spans="1:23">
      <c r="A563" s="272" t="s">
        <v>253</v>
      </c>
      <c r="E563" s="367" t="str" cm="1">
        <f t="array" ref="E563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INDEX(_xlpm.vPanel,ROWS($E$121:E563))
),"")</f>
        <v/>
      </c>
      <c r="P563" s="1" t="str" cm="1">
        <f t="array" ref="P563">IF(AND(UPPER(TRIM(SUBSTITUTE(Enginuity!$A$1,CHAR(160)," ")))="VITALLY",TRIM(INDEX($T:$T,ROW()))&lt;&gt;"",INDEX($V:$V,ROW())&lt;&gt;"",INDEX($V:$V,ROW())&lt;&gt;0,INDEX($W:$W,ROW())&lt;&gt;"",INDEX($W:$W,ROW())&lt;&gt;0),ROW(),"")</f>
        <v/>
      </c>
      <c r="W563" s="421"/>
    </row>
    <row r="564" spans="1:23">
      <c r="A564" s="272" t="s">
        <v>253</v>
      </c>
      <c r="E564" s="367" t="str" cm="1">
        <f t="array" ref="E564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INDEX(_xlpm.vPanel,ROWS($E$121:E564))
),"")</f>
        <v/>
      </c>
      <c r="P564" s="1" t="str" cm="1">
        <f t="array" ref="P564">IF(AND(UPPER(TRIM(SUBSTITUTE(Enginuity!$A$1,CHAR(160)," ")))="VITALLY",TRIM(INDEX($T:$T,ROW()))&lt;&gt;"",INDEX($V:$V,ROW())&lt;&gt;"",INDEX($V:$V,ROW())&lt;&gt;0,INDEX($W:$W,ROW())&lt;&gt;"",INDEX($W:$W,ROW())&lt;&gt;0),ROW(),"")</f>
        <v/>
      </c>
      <c r="W564" s="421"/>
    </row>
    <row r="565" spans="1:23">
      <c r="A565" s="272" t="s">
        <v>253</v>
      </c>
      <c r="E565" s="367" t="str" cm="1">
        <f t="array" ref="E565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INDEX(_xlpm.vPanel,ROWS($E$121:E565))
),"")</f>
        <v/>
      </c>
      <c r="P565" s="1" t="str" cm="1">
        <f t="array" ref="P565">IF(AND(UPPER(TRIM(SUBSTITUTE(Enginuity!$A$1,CHAR(160)," ")))="VITALLY",TRIM(INDEX($T:$T,ROW()))&lt;&gt;"",INDEX($V:$V,ROW())&lt;&gt;"",INDEX($V:$V,ROW())&lt;&gt;0,INDEX($W:$W,ROW())&lt;&gt;"",INDEX($W:$W,ROW())&lt;&gt;0),ROW(),"")</f>
        <v/>
      </c>
      <c r="W565" s="421"/>
    </row>
    <row r="566" spans="1:23">
      <c r="A566" s="272" t="s">
        <v>253</v>
      </c>
      <c r="E566" s="367" t="str" cm="1">
        <f t="array" ref="E566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INDEX(_xlpm.vPanel,ROWS($E$121:E566))
),"")</f>
        <v/>
      </c>
      <c r="P566" s="1" t="str" cm="1">
        <f t="array" ref="P566">IF(AND(UPPER(TRIM(SUBSTITUTE(Enginuity!$A$1,CHAR(160)," ")))="VITALLY",TRIM(INDEX($T:$T,ROW()))&lt;&gt;"",INDEX($V:$V,ROW())&lt;&gt;"",INDEX($V:$V,ROW())&lt;&gt;0,INDEX($W:$W,ROW())&lt;&gt;"",INDEX($W:$W,ROW())&lt;&gt;0),ROW(),"")</f>
        <v/>
      </c>
      <c r="W566" s="421"/>
    </row>
    <row r="567" spans="1:23">
      <c r="A567" s="272" t="s">
        <v>253</v>
      </c>
      <c r="E567" s="367" t="str" cm="1">
        <f t="array" ref="E567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INDEX(_xlpm.vPanel,ROWS($E$121:E567))
),"")</f>
        <v/>
      </c>
      <c r="P567" s="1" t="str" cm="1">
        <f t="array" ref="P567">IF(AND(UPPER(TRIM(SUBSTITUTE(Enginuity!$A$1,CHAR(160)," ")))="VITALLY",TRIM(INDEX($T:$T,ROW()))&lt;&gt;"",INDEX($V:$V,ROW())&lt;&gt;"",INDEX($V:$V,ROW())&lt;&gt;0,INDEX($W:$W,ROW())&lt;&gt;"",INDEX($W:$W,ROW())&lt;&gt;0),ROW(),"")</f>
        <v/>
      </c>
      <c r="W567" s="421"/>
    </row>
    <row r="568" spans="1:23">
      <c r="A568" s="272" t="s">
        <v>253</v>
      </c>
      <c r="E568" s="367" t="str" cm="1">
        <f t="array" ref="E568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INDEX(_xlpm.vPanel,ROWS($E$121:E568))
),"")</f>
        <v/>
      </c>
      <c r="P568" s="1" t="str" cm="1">
        <f t="array" ref="P568">IF(AND(UPPER(TRIM(SUBSTITUTE(Enginuity!$A$1,CHAR(160)," ")))="VITALLY",TRIM(INDEX($T:$T,ROW()))&lt;&gt;"",INDEX($V:$V,ROW())&lt;&gt;"",INDEX($V:$V,ROW())&lt;&gt;0,INDEX($W:$W,ROW())&lt;&gt;"",INDEX($W:$W,ROW())&lt;&gt;0),ROW(),"")</f>
        <v/>
      </c>
      <c r="W568" s="421"/>
    </row>
    <row r="569" spans="1:23">
      <c r="A569" s="272" t="s">
        <v>253</v>
      </c>
      <c r="E569" s="367" t="str" cm="1">
        <f t="array" ref="E569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INDEX(_xlpm.vPanel,ROWS($E$121:E569))
),"")</f>
        <v/>
      </c>
      <c r="P569" s="1" t="str" cm="1">
        <f t="array" ref="P569">IF(AND(UPPER(TRIM(SUBSTITUTE(Enginuity!$A$1,CHAR(160)," ")))="VITALLY",TRIM(INDEX($T:$T,ROW()))&lt;&gt;"",INDEX($V:$V,ROW())&lt;&gt;"",INDEX($V:$V,ROW())&lt;&gt;0,INDEX($W:$W,ROW())&lt;&gt;"",INDEX($W:$W,ROW())&lt;&gt;0),ROW(),"")</f>
        <v/>
      </c>
      <c r="W569" s="421"/>
    </row>
    <row r="570" spans="1:23">
      <c r="A570" s="272" t="s">
        <v>253</v>
      </c>
      <c r="E570" s="367" t="str" cm="1">
        <f t="array" ref="E570">IFERROR(_xlfn.LET(
_xlpm.vType,TRIM(Enginuity!$A$18),
_xlpm.vSub,TRIM(Enginuity!$B$18),
_xlpm.vTypeOK,_xlfn.SWITCH(
_xlpm.vType,
"Sliding Door",--(Vitally!$B$24:$B$143="Suspended Sliding Door"),
"Shower Screen",--(LEFT(Vitally!$B$24:$B$143,13)="Shower Screen"),
"Kitchen Cabinet",--(LEFT(Vitally!$B$24:$B$143,15)="Kitchen Cabinet"),
--(Vitally!$B$24:$B$143=_xlpm.vType)
),
_xlpm.vKeys,_xlfn.UNIQUE(_xlfn._xlws.FILTER(
Vitally!$E$24:$E$143,
_xlpm.vTypeOK*
IF(_xlpm.vSub="",1,--(Vitally!$C$24:$C$143=_xlpm.vSub))*
(Vitally!$E$24:$E$143&lt;&gt;"")
)),
_xlpm.vPanel,_xlfn.UNIQUE(_xlfn._xlws.FILTER(
Vitally!$F$148:$F$1498,
ISNUMBER(_xlfn.XMATCH(Vitally!$B$148:$B$1498,_xlpm.vKeys))*
(Vitally!$E$148:$E$1498="Panel / Infill")*
(Vitally!$F$148:$F$1498&lt;&gt;"")
)),
INDEX(_xlpm.vPanel,ROWS($E$121:E570))
),"")</f>
        <v/>
      </c>
      <c r="P570" s="1" t="str" cm="1">
        <f t="array" ref="P570">IF(AND(UPPER(TRIM(SUBSTITUTE(Enginuity!$A$1,CHAR(160)," ")))="VITALLY",TRIM(INDEX($T:$T,ROW()))&lt;&gt;"",INDEX($V:$V,ROW())&lt;&gt;"",INDEX($V:$V,ROW())&lt;&gt;0,INDEX($W:$W,ROW())&lt;&gt;"",INDEX($W:$W,ROW())&lt;&gt;0),ROW(),"")</f>
        <v/>
      </c>
      <c r="W570" s="421"/>
    </row>
    <row r="571" spans="1:23">
      <c r="A571" s="412" t="s">
        <v>253</v>
      </c>
      <c r="B571" s="408" t="str" cm="1">
        <f t="array" ref="B571">IF(OR(UPPER(TRIM(SUBSTITUTE(Enginuity!$A$1,CHAR(160)," ")))&lt;&gt;"VITALLY",UPPER(SUBSTITUTE(SUBSTITUTE(TRIM(SUBSTITUTE(Enginuity!$A$18,CHAR(160)," ")),"-","")," ",""))&lt;&gt;"SHOWERSCREEN",TRIM(SUBSTITUTE(Enginuity!$B$18,CHAR(160)," "))=""),"",IFERROR(_xlfn.LET(_xlpm.userSub,TRIM(SUBSTITUTE(Enginuity!$B$18,CHAR(160)," ")),_xlpm.widthIn,N(Enginuity!$B$6)*12,_xlpm.sourceSub,_xlfn.SWITCH(UPPER(_xlpm.userSub),"WALL TO WALL",IF(_xlpm.widthIn&lt;=72,"110A - Front Entry (Wall to Wall) - 2 Doors / 3 Doors","120A Corner Entry / 110A Front Entry (Wall to Wall) - 4 Doors"),"CORNER ENTRY / L-SHAPE","120A Corner Entry / 110A Front Entry (Wall to Wall) - 4 Doors","FIX","190A - Fix",""),_xlpm.r,ROW(Vitally!$A$123:$A$384),_xlpm.srcService,TRIM(SUBSTITUTE(Vitally!$A$123:$A$384,CHAR(160)," ")),_xlpm.srcSub,TRIM(SUBSTITUTE(Vitally!$D$123:$D$384,CHAR(160)," ")),_xlpm.filledSub,TRIM(SUBSTITUTE(LOOKUP(_xlpm.r,_xlpm.r/(_xlpm.srcSub&lt;&gt;""),_xlpm.srcSub),CHAR(160)," ")),_xlfn.UNIQUE(_xlfn._xlws.FILTER(_xlpm.srcService,(_xlpm.filledSub=_xlpm.sourceSub)*(_xlpm.srcService&lt;&gt;"")))),""))</f>
        <v/>
      </c>
      <c r="C571" s="408" t="str" cm="1">
        <f t="array" ref="C571">IF(UPPER(TRIM(SUBSTITUTE(Enginuity!$A$1,CHAR(160)," ")))&lt;&gt;"VITALLY","",IFERROR(_xlfn.LET(_xlpm.src,TRIM(SUBSTITUTE(Vitally!$C$123:$C$384,CHAR(160)," ")),_xlfn.UNIQUE(_xlfn._xlws.FILTER(_xlpm.src,_xlpm.src&lt;&gt;""))),""))</f>
        <v/>
      </c>
      <c r="D571" s="408" t="str" cm="1">
        <f t="array" ref="D571">IF(OR(UPPER(TRIM(SUBSTITUTE(Enginuity!$A$1,CHAR(160)," ")))&lt;&gt;"VITALLY",UPPER(SUBSTITUTE(SUBSTITUTE(TRIM(SUBSTITUTE(Enginuity!$A$18,CHAR(160)," ")),"-","")," ",""))&lt;&gt;"SHOWERSCREEN",TRIM(SUBSTITUTE(Enginuity!$B$18,CHAR(160)," "))=""),"",IFERROR(_xlfn.LET(_xlpm.userSub,TRIM(SUBSTITUTE(Enginuity!$B$18,CHAR(160)," ")),_xlpm.widthIn,N(Enginuity!$B$6)*12,_xlpm.sourceSub,_xlfn.SWITCH(UPPER(_xlpm.userSub),"WALL TO WALL",IF(_xlpm.widthIn&lt;=72,"110A - Front Entry (Wall to Wall) - 2 Doors / 3 Doors","120A Corner Entry / 110A Front Entry (Wall to Wall) - 4 Doors"),"CORNER ENTRY / L-SHAPE","120A Corner Entry / 110A Front Entry (Wall to Wall) - 4 Doors","FIX","190A - Fix",""),_xlpm.r,ROW(Vitally!$D$123:$D$384),_xlpm.srcSub,TRIM(SUBSTITUTE(Vitally!$D$123:$D$384,CHAR(160)," ")),_xlpm.srcFinish,TRIM(SUBSTITUTE(Vitally!$H$123:$H$384,CHAR(160)," ")),_xlpm.filledSub,TRIM(SUBSTITUTE(LOOKUP(_xlpm.r,_xlpm.r/(_xlpm.srcSub&lt;&gt;""),_xlpm.srcSub),CHAR(160)," ")),_xlfn.UNIQUE(_xlfn._xlws.FILTER(_xlpm.srcFinish,(_xlpm.filledSub=_xlpm.sourceSub)*(_xlpm.srcFinish&lt;&gt;"")))),""))</f>
        <v/>
      </c>
      <c r="E571" s="408" t="str" cm="1">
        <f t="array" ref="E571">IF(OR(UPPER(TRIM(SUBSTITUTE(Enginuity!$A$1,CHAR(160)," ")))&lt;&gt;"VITALLY",UPPER(SUBSTITUTE(SUBSTITUTE(TRIM(SUBSTITUTE(Enginuity!$A$18,CHAR(160)," ")),"-","")," ",""))&lt;&gt;"SHOWERSCREEN",TRIM(SUBSTITUTE(Enginuity!$B$18,CHAR(160)," "))="",N(Enginuity!$B$6)&lt;=0,N(Enginuity!$B$7)&lt;=0),"",IFERROR(_xlfn.LET(_xlpm.userSub,TRIM(SUBSTITUTE(Enginuity!$B$18,CHAR(160)," ")),_xlpm.widthIn,N(Enginuity!$B$6)*12,_xlpm.heightIn,N(Enginuity!$B$7)*12,_xlpm.depthIn,N(Enginuity!$B$8)*12,_xlpm.heightBand,IF(_xlpm.heightIn&lt;=72,72,IF(_xlpm.heightIn&lt;=84,84,"")),_xlpm.sourceSub,_xlfn.SWITCH(UPPER(_xlpm.userSub),"WALL TO WALL",IF(_xlpm.widthIn&lt;=72,"110A - Front Entry (Wall to Wall) - 2 Doors / 3 Doors","120A Corner Entry / 110A Front Entry (Wall to Wall) - 4 Doors"),"CORNER ENTRY / L-SHAPE","120A Corner Entry / 110A Front Entry (Wall to Wall) - 4 Doors","FIX","190A - Fix",""),_xlpm.widthKey,_xlfn.SWITCH(UPPER(_xlpm.userSub),"WALL TO WALL",IF(_xlpm.widthIn&lt;=72,_xlpm.widthIn,_xlpm.widthIn/2),"CORNER ENTRY / L-SHAPE",_xlpm.widthIn,"FIX",MIN(_xlpm.widthIn,48),0),_xlpm.sizeValid,AND(_xlpm.depthIn=0,_xlpm.heightBand&lt;&gt;"",_xlfn.SWITCH(UPPER(_xlpm.userSub),"WALL TO WALL",_xlpm.widthIn&lt;=84,"CORNER ENTRY / L-SHAPE",_xlpm.widthIn&lt;=42,"FIX",_xlpm.widthIn&lt;=72,FALSE)),_xlpm.r,ROW(Vitally!$D$123:$D$384),_xlpm.srcSub,TRIM(SUBSTITUTE(Vitally!$D$123:$D$384,CHAR(160)," ")),_xlpm.srcFrameRate,Vitally!$E$123:$E$384,_xlpm.srcPanel,TRIM(SUBSTITUTE(Vitally!$I$123:$I$384,CHAR(160)," ")),_xlpm.srcPanelRate,Vitally!$J$123:$J$384,_xlpm.srcHeight,Vitally!$O$123:$O$384,_xlpm.srcWidth,Vitally!$P$123:$P$384,_xlpm.filledSub,TRIM(SUBSTITUTE(LOOKUP(_xlpm.r,_xlpm.r/(_xlpm.srcSub&lt;&gt;""),_xlpm.srcSub),CHAR(160)," ")),_xlpm.filledPanel,IFERROR(TRIM(SUBSTITUTE(LOOKUP(_xlpm.r,_xlpm.r/(_xlpm.srcPanel&lt;&gt;""),_xlpm.srcPanel),CHAR(160)," ")),""),_xlpm.filledHeight,IFERROR(LOOKUP(_xlpm.r,_xlpm.r/(_xlpm.srcHeight&lt;&gt;""),_xlpm.srcHeight),""),_xlpm.rateSource,IF(UPPER(_xlpm.filledPanel)="FRAME ONLY",IF(_xlpm.srcFrameRate&lt;&gt;"",_xlpm.srcFrameRate,_xlpm.srcPanelRate),_xlpm.srcPanelRate),_xlpm.mask,_xlpm.sizeValid*(_xlpm.filledSub=_xlpm.sourceSub)*(_xlpm.filledPanel&lt;&gt;"")*(_xlpm.filledHeight=_xlpm.heightBand)*(_xlpm.srcWidth&lt;&gt;"")*(_xlpm.srcWidth&gt;=_xlpm.widthKey)*(_xlpm.rateSource&lt;&gt;""),_xlpm.panelList,_xlfn.UNIQUE(_xlfn._xlws.FILTER(_xlpm.filledPanel,_xlpm.mask)),INDEX(_xlpm.panelList,_xlfn.SEQUENCE(MIN(20,ROWS(_xlpm.panelList))))),""))</f>
        <v/>
      </c>
      <c r="F571" s="408" t="str">
        <f>"▼ [Product Subtype]"</f>
        <v>▼ [Product Subtype]</v>
      </c>
      <c r="G571" s="408"/>
      <c r="H571" s="408"/>
      <c r="I571" s="408"/>
      <c r="J571" s="408"/>
      <c r="K571" s="408"/>
      <c r="L571" s="408"/>
      <c r="M571" s="413" t="str" cm="1">
        <f t="array" ref="M571">IF(OR(UPPER(TRIM(SUBSTITUTE(Enginuity!$A$1,CHAR(160)," ")))&lt;&gt;"VITALLY",UPPER(SUBSTITUTE(SUBSTITUTE(TRIM(SUBSTITUTE(Enginuity!$A$18,CHAR(160)," ")),"-","")," ",""))&lt;&gt;"SHOWERSCREEN",TRIM(SUBSTITUTE(Enginuity!$B$18,CHAR(160)," "))=""),"",IFERROR(_xlfn.LET(_xlpm.userSub,TRIM(SUBSTITUTE(Enginuity!$B$18,CHAR(160)," ")),_xlpm.widthIn,N(Enginuity!$B$6)*12,_xlpm.sourceSub,_xlfn.SWITCH(UPPER(_xlpm.userSub),"WALL TO WALL",IF(_xlpm.widthIn&lt;=72,"110A - Front Entry (Wall to Wall) - 2 Doors / 3 Doors","120A Corner Entry / 110A Front Entry (Wall to Wall) - 4 Doors"),"CORNER ENTRY / L-SHAPE","120A Corner Entry / 110A Front Entry (Wall to Wall) - 4 Doors","FIX","190A - Fix",""),_xlpm.srcSub,TRIM(SUBSTITUTE(Vitally!$D$123:$D$384,CHAR(160)," ")),INDEX(Vitally!$F$123:$G$384,MATCH(_xlpm.sourceSub,_xlpm.srcSub,0),0)),""))</f>
        <v/>
      </c>
      <c r="N571" s="408"/>
      <c r="O571" s="408"/>
      <c r="P571" s="404" t="str" cm="1">
        <f t="array" ref="P571">IF(AND(UPPER(TRIM(SUBSTITUTE(Enginuity!$A$1,CHAR(160)," ")))="VITALLY",TRIM(INDEX($T:$T,ROW()))&lt;&gt;"",INDEX($V:$V,ROW())&lt;&gt;"",INDEX($V:$V,ROW())&lt;&gt;0,INDEX($W:$W,ROW())&lt;&gt;"",INDEX($W:$W,ROW())&lt;&gt;0),ROW(),"")</f>
        <v/>
      </c>
      <c r="Q571" s="404"/>
      <c r="R571" s="404" t="str" cm="1">
        <f t="array" ref="R571">IFERROR(INDEX(_xlfn.ANCHORARRAY(T571),0,1),"")</f>
        <v/>
      </c>
      <c r="S571" s="410"/>
      <c r="T571" s="404" t="str" cm="1">
        <f t="array" ref="T571">IF(OR(UPPER(TRIM(SUBSTITUTE(Enginuity!$A$1,CHAR(160)," ")))&lt;&gt;"VITALLY",UPPER(SUBSTITUTE(SUBSTITUTE(TRIM(SUBSTITUTE(Enginuity!$A$18,CHAR(160)," ")),"-","")," ",""))&lt;&gt;"SHOWERSCREEN",TRIM(SUBSTITUTE(Enginuity!$B$18,CHAR(160)," "))="",TRIM(SUBSTITUTE(Enginuity!$A$20,CHAR(160)," "))="",TRIM(SUBSTITUTE(Enginuity!$A$17,CHAR(160)," "))=""),"",IFERROR(_xlfn.LET(_xlpm.userSub,TRIM(SUBSTITUTE(Enginuity!$B$18,CHAR(160)," ")),_xlpm.userKey,UPPER(_xlpm.userSub),_xlpm.selPanel,TRIM(SUBSTITUTE(Enginuity!$A$20,CHAR(160)," ")),_xlpm.selService,TRIM(SUBSTITUTE(Enginuity!$A$17,CHAR(160)," ")),_xlpm.widthIn,N(Enginuity!$B$6)*12,_xlpm.heightIn,N(Enginuity!$B$7)*12,_xlpm.depthIn,N(Enginuity!$B$8)*12,_xlpm.setQty,MAX(1,N(Enginuity!$B$12)),_xlpm.isWall,_xlpm.userKey="WALL TO WALL",_xlpm.isCorner,_xlpm.userKey="CORNER ENTRY / L-SHAPE",_xlpm.isFix,_xlpm.userKey="FIX",_xlpm.isWall110,AND(_xlpm.isWall,_xlpm.widthIn&lt;=72),_xlpm.isWallFour,AND(_xlpm.isWall,_xlpm.widthIn&gt;72),_xlpm.sourceSub,IF(_xlpm.isWall,IF(_xlpm.widthIn&lt;=72,"110A - Front Entry (Wall to Wall) - 2 Doors / 3 Doors","120A Corner Entry / 110A Front Entry (Wall to Wall) - 4 Doors"),IF(_xlpm.isCorner,"120A Corner Entry / 110A Front Entry (Wall to Wall) - 4 Doors",IF(_xlpm.isFix,"190A - Fix",""))),_xlpm.heightBand,IF(_xlpm.heightIn&lt;=72,72,IF(_xlpm.heightIn&lt;=84,84,"")),_xlpm.widthKey,IF(_xlpm.isWall,IF(_xlpm.widthIn&lt;=72,_xlpm.widthIn,_xlpm.widthIn/2),IF(_xlpm.isCorner,_xlpm.widthIn,IF(_xlpm.isFix,MIN(_xlpm.widthIn,48),0))),_xlpm.r,ROW(Vitally!$A$123:$A$384),_xlpm.srcService,TRIM(SUBSTITUTE(Vitally!$A$123:$A$384,CHAR(160)," ")),_xlpm.srcServiceRate,Vitally!$B$123:$B$384,_xlpm.srcSub,TRIM(SUBSTITUTE(Vitally!$D$123:$D$384,CHAR(160)," ")),_xlpm.srcFrameRate,Vitally!$E$123:$E$384,_xlpm.srcPanel,TRIM(SUBSTITUTE(Vitally!$I$123:$I$384,CHAR(160)," ")),_xlpm.srcPanelRate,Vitally!$J$123:$J$384,_xlpm.srcLattice,TRIM(SUBSTITUTE(Vitally!$K$123:$K$384,CHAR(160)," ")),_xlpm.srcLatticeRate,Vitally!$L$123:$L$384,_xlpm.srcAll,TRIM(SUBSTITUTE(Vitally!$M$123:$M$384,CHAR(160)," ")),_xlpm.srcAllRate,Vitally!$N$123:$N$384,_xlpm.srcHeight,Vitally!$O$123:$O$384,_xlpm.srcWidth,Vitally!$P$123:$P$384,_xlpm.srcMinRate,Vitally!$Q$123:$Q$384,_xlpm.filledSub,TRIM(SUBSTITUTE(LOOKUP(_xlpm.r,_xlpm.r/(_xlpm.srcSub&lt;&gt;""),_xlpm.srcSub),CHAR(160)," ")),_xlpm.filledPanel,IFERROR(TRIM(SUBSTITUTE(LOOKUP(_xlpm.r,_xlpm.r/(_xlpm.srcPanel&lt;&gt;""),_xlpm.srcPanel),CHAR(160)," ")),""),_xlpm.filledHeight,IFERROR(LOOKUP(_xlpm.r,_xlpm.r/(_xlpm.srcHeight&lt;&gt;""),_xlpm.srcHeight),""),_xlpm.rateSource,IF(UPPER(_xlpm.filledPanel)="FRAME ONLY",IF(_xlpm.srcFrameRate&lt;&gt;"",_xlpm.srcFrameRate,_xlpm.srcPanelRate),_xlpm.srcPanelRate),_xlpm.panelKey,UPPER(_xlpm.selPanel),_xlpm.isGlass,OR(ISNUMBER(SEARCH("GLASS",_xlpm.panelKey)),ISNUMBER(SEARCH("TEMPERED",_xlpm.panelKey))),_xlpm.isFrameOnly,_xlpm.panelKey="FRAME ONLY",_xlpm.allLimit,IF(OR(_xlpm.isGlass,_xlpm.isFrameOnly),54,66),_xlpm.hardStatus,IF(_xlpm.widthIn&lt;=0,"CHECK WIDTH",IF(_xlpm.heightIn&lt;=0,"CHECK HEIGHT",IF(_xlpm.depthIn&gt;0,"CLEAR DEPTH / ENTER LARGER SIDE IN WIDTH",IF(_xlpm.sourceSub="","CHECK PRODUCT SUBTYPE",IF(_xlpm.heightBand="","OUT OF PRICE LIST / HEIGHT ABOVE 84in",IF(AND(_xlpm.isWall,_xlpm.widthIn&gt;84),"OUT OF PRICE LIST / WALL TO WALL WIDTH ABOVE 84in",IF(AND(_xlpm.isCorner,_xlpm.widthIn&gt;42),"OUT OF PRICE LIST / CORNER OR L-SHAPE WIDTH ABOVE 42in",IF(AND(_xlpm.isFix,_xlpm.widthIn&gt;72),"OUT OF PRICE LIST / FIX WIDTH ABOVE 72in","")))))))),_xlpm.widthBand,IF(_xlpm.hardStatus&lt;&gt;"","",IFERROR(MIN(_xlfn._xlws.FILTER(_xlpm.srcWidth,(_xlpm.filledSub=_xlpm.sourceSub)*(_xlpm.filledPanel=_xlpm.selPanel)*(_xlpm.filledHeight=_xlpm.heightBand)*(_xlpm.srcWidth&gt;=_xlpm.widthKey)*(_xlpm.rateSource&lt;&gt;""))),"")),_xlpm.baseRate,IF(OR(_xlpm.hardStatus&lt;&gt;"",_xlpm.widthBand=""),"",IFERROR(INDEX(_xlpm.rateSource,MATCH(1,(_xlpm.filledSub=_xlpm.sourceSub)*(_xlpm.filledPanel=_xlpm.selPanel)*(_xlpm.filledHeight=_xlpm.heightBand)*(_xlpm.srcWidth=_xlpm.widthBand)*(_xlpm.rateSource&lt;&gt;""),0)),"")),_xlpm.allRate,IFERROR(_xlfn.XLOOKUP("ALL SLIDING",UPPER(_xlfn._xlws.FILTER(_xlpm.srcAll,(_xlpm.filledSub=_xlpm.sourceSub)*(_xlpm.srcAll&lt;&gt;""))),_xlfn._xlws.FILTER(_xlpm.srcAllRate,(_xlpm.filledSub=_xlpm.sourceSub)*(_xlpm.srcAll&lt;&gt;"")),0),0),_xlpm.latticeRate,IFERROR(_xlfn.XLOOKUP("LATTICE DESIGN",UPPER(_xlfn._xlws.FILTER(_xlpm.srcLattice,(_xlpm.filledSub=_xlpm.sourceSub)*(_xlpm.srcLattice&lt;&gt;""))),_xlfn._xlws.FILTER(_xlpm.srcLatticeRate,(_xlpm.filledSub=_xlpm.sourceSub)*(_xlpm.srcLattice&lt;&gt;"")),0),0),_xlpm.autoAll,AND(_xlpm.isWall110,_xlpm.widthIn&lt;=_xlpm.allLimit,_xlpm.baseRate&lt;&gt;""),_xlpm.autoLattice,AND(_xlpm.isFix,_xlpm.widthIn&gt;48,_xlpm.widthIn&lt;=72,_xlpm.baseRate&lt;&gt;""),_xlpm.optionDesc,IF(_xlpm.autoAll,"All Sliding",IF(_xlpm.autoLattice,"Lattice Design","")),_xlpm.optionRate,IF(_xlpm.autoAll,_xlpm.allRate,IF(_xlpm.autoLattice,_xlpm.latticeRate,0)),_xlpm.serviceRate0,IFERROR(_xlfn.XLOOKUP(_xlpm.selService,_xlfn._xlws.FILTER(_xlpm.srcService,(_xlpm.filledSub=_xlpm.sourceSub)*(_xlpm.srcService&lt;&gt;"")),_xlfn._xlws.FILTER(_xlpm.srcServiceRate,(_xlpm.filledSub=_xlpm.sourceSub)*(_xlpm.srcService&lt;&gt;"")),0),0),_xlpm.minRate,IFERROR(MAX(_xlfn._xlws.FILTER(_xlpm.srcMinRate,(_xlpm.filledSub=_xlpm.sourceSub)*(_xlpm.srcMinRate&lt;&gt;""))),0),_xlpm.useMin,AND(UPPER(_xlpm.selService)="SUPPLY &amp; INSTALL",_xlpm.minRate&gt;0,_xlpm.serviceRate0*_xlpm.setQty&lt;_xlpm.minRate),_xlpm.serviceDesc,IF(_xlpm.useMin,"Installation Minimum Labour Charges",_xlpm.selService),_xlpm.serviceUom,IF(_xlpm.useMin,"Site","Set"),_xlpm.serviceQty,IF(_xlpm.useMin,1,_xlpm.setQty),_xlpm.serviceRate,IF(_xlpm.useMin,_xlpm.minRate,_xlpm.serviceRate0),_xlpm.sizeDesc,IF(_xlpm.isWallFour,TEXT(_xlpm.widthIn,"0.###")&amp;CHAR(34)&amp;" Total / "&amp;TEXT(_xlpm.widthBand,"0.###")&amp;CHAR(34)&amp;" Half Band",TEXT(_xlpm.widthBand,"0.###")&amp;CHAR(34)&amp;" W"),_xlpm.configDesc,IF(_xlpm.isWall110,IF(_xlpm.autoAll,"Wall to Wall - All Sliding","Wall to Wall - Standard 1F1S / 1F2S"),IF(_xlpm.isWallFour,"Wall to Wall - 4 Doors",IF(_xlpm.isCorner,"Corner Entry / L-Shape - 4 Doors",IF(_xlpm.isFix,IF(_xlpm.autoLattice,"Fix + Lattice","Fix"),"")))),_xlpm.baseDesc,_xlpm.userSub&amp;" - "&amp;_xlpm.selPanel&amp;" - "&amp;_xlpm.sizeDesc&amp;" x "&amp;TEXT(_xlpm.heightBand,"0.###")&amp;CHAR(34)&amp;" H - "&amp;_xlpm.configDesc,_xlpm.status,IF(_xlpm.hardStatus&lt;&gt;"",_xlpm.hardStatus,IF(_xlpm.baseRate="","UNSUPPORTED PANEL / SIZE","")),_xlpm.showRows,CHOOSE({1;2;3},_xlpm.baseRate&gt;0,_xlpm.optionRate&gt;0,_xlpm.serviceRate&gt;0),_xlpm.descs,CHOOSE({1;2;3},_xlpm.baseDesc,_xlpm.optionDesc,_xlpm.serviceDesc),_xlpm.uoms,CHOOSE({1;2;3},"Set","Set",_xlpm.serviceUom),_xlpm.qtys,CHOOSE({1;2;3},_xlpm.setQty,_xlpm.setQty,_xlpm.serviceQty),_xlpm.rates,CHOOSE({1;2;3},_xlpm.baseRate,_xlpm.optionRate,_xlpm.serviceRate),IF(_xlpm.status&lt;&gt;"",CHOOSE({1,2,3,4},_xlpm.status,"CHECK",1,0),_xlfn._xlws.FILTER(CHOOSE({1,2,3,4},_xlpm.descs,_xlpm.uoms,_xlpm.qtys,_xlpm.rates),_xlpm.showRows))),""))</f>
        <v/>
      </c>
      <c r="U571" s="404"/>
      <c r="V571" s="404"/>
      <c r="W571" s="423"/>
    </row>
    <row r="572" spans="1:23">
      <c r="A572" s="272" t="s">
        <v>253</v>
      </c>
      <c r="F572" s="367" t="str" cm="1">
        <f t="array" ref="F572">IF(OR(UPPER(TRIM(SUBSTITUTE(Enginuity!$A$1,CHAR(160)," ")))&lt;&gt;"VITALLY",UPPER(SUBSTITUTE(SUBSTITUTE(TRIM(SUBSTITUTE(Enginuity!$A$18,CHAR(160)," ")),"-","")," ",""))&lt;&gt;"SHOWERSCREEN",N(Enginuity!$B$6)&lt;=0,N(Enginuity!$B$7)&lt;=0),"",IFERROR(_xlfn.LET(_xlpm.widthIn,N(Enginuity!$B$6)*12,_xlpm.heightIn,N(Enginuity!$B$7)*12,_xlpm.depthIn,N(Enginuity!$B$8)*12,_xlpm.heightBand,IF(_xlpm.heightIn&lt;=72,72,IF(_xlpm.heightIn&lt;=84,84,"")),_xlpm.r,ROW(Vitally!$D$123:$D$384),_xlpm.srcSub,TRIM(SUBSTITUTE(Vitally!$D$123:$D$384,CHAR(160)," ")),_xlpm.srcFrameRate,Vitally!$E$123:$E$384,_xlpm.srcPanelRate,Vitally!$J$123:$J$384,_xlpm.srcHeight,Vitally!$O$123:$O$384,_xlpm.srcWidth,Vitally!$P$123:$P$384,_xlpm.filledSub,TRIM(SUBSTITUTE(LOOKUP(_xlpm.r,_xlpm.r/(_xlpm.srcSub&lt;&gt;""),_xlpm.srcSub),CHAR(160)," ")),_xlpm.filledHeight,IFERROR(LOOKUP(_xlpm.r,_xlpm.r/(_xlpm.srcHeight&lt;&gt;""),_xlpm.srcHeight),""),_xlpm.rateOK,((_xlpm.srcPanelRate&lt;&gt;"")+(_xlpm.srcFrameRate&lt;&gt;""))&gt;0,_xlpm.wallSource,IF(_xlpm.widthIn&lt;=72,"110A - Front Entry (Wall to Wall) - 2 Doors / 3 Doors","120A Corner Entry / 110A Front Entry (Wall to Wall) - 4 Doors"),_xlpm.wallKey,IF(_xlpm.widthIn&lt;=72,_xlpm.widthIn,_xlpm.widthIn/2),_xlpm.wallOK,AND(_xlpm.depthIn=0,_xlpm.heightBand&lt;&gt;"",_xlpm.widthIn&lt;=84,SUM((_xlpm.filledSub=_xlpm.wallSource)*(_xlpm.filledHeight=_xlpm.heightBand)*(_xlpm.srcWidth&lt;&gt;"")*(_xlpm.srcWidth&gt;=_xlpm.wallKey)*_xlpm.rateOK)&gt;0),_xlpm.cornerOK,AND(_xlpm.depthIn=0,_xlpm.heightBand&lt;&gt;"",_xlpm.widthIn&lt;=42,SUM((_xlpm.filledSub="120A Corner Entry / 110A Front Entry (Wall to Wall) - 4 Doors")*(_xlpm.filledHeight=_xlpm.heightBand)*(_xlpm.srcWidth&lt;&gt;"")*(_xlpm.srcWidth&gt;=_xlpm.widthIn)*_xlpm.rateOK)&gt;0),_xlpm.fixKey,MIN(_xlpm.widthIn,48),_xlpm.fixOK,AND(_xlpm.depthIn=0,_xlpm.heightBand&lt;&gt;"",_xlpm.widthIn&lt;=72,SUM((_xlpm.filledSub="190A - Fix")*(_xlpm.filledHeight=_xlpm.heightBand)*(_xlpm.srcWidth&lt;&gt;"")*(_xlpm.srcWidth&gt;=_xlpm.fixKey)*_xlpm.rateOK)&gt;0),_xlpm.labels,CHOOSE({1;2;3},"Wall to Wall","Corner Entry / L-Shape","Fix"),_xlpm.showRows,CHOOSE({1;2;3},_xlpm.wallOK,_xlpm.cornerOK,_xlpm.fixOK),_xlfn._xlws.FILTER(_xlpm.labels,_xlpm.showRows)),""))</f>
        <v/>
      </c>
      <c r="P572" s="1" t="str" cm="1">
        <f t="array" ref="P572">IF(AND(UPPER(TRIM(SUBSTITUTE(Enginuity!$A$1,CHAR(160)," ")))="VITALLY",TRIM(INDEX($T:$T,ROW()))&lt;&gt;"",INDEX($V:$V,ROW())&lt;&gt;"",INDEX($V:$V,ROW())&lt;&gt;0,INDEX($W:$W,ROW())&lt;&gt;"",INDEX($W:$W,ROW())&lt;&gt;0),ROW(),"")</f>
        <v/>
      </c>
      <c r="W572" s="421"/>
    </row>
    <row r="573" spans="1:23">
      <c r="A573" s="272" t="s">
        <v>253</v>
      </c>
      <c r="P573" s="1" t="str" cm="1">
        <f t="array" ref="P573">IF(AND(UPPER(TRIM(SUBSTITUTE(Enginuity!$A$1,CHAR(160)," ")))="VITALLY",TRIM(INDEX($T:$T,ROW()))&lt;&gt;"",INDEX($V:$V,ROW())&lt;&gt;"",INDEX($V:$V,ROW())&lt;&gt;0,INDEX($W:$W,ROW())&lt;&gt;"",INDEX($W:$W,ROW())&lt;&gt;0),ROW(),"")</f>
        <v/>
      </c>
      <c r="W573" s="421"/>
    </row>
    <row r="574" spans="1:23">
      <c r="A574" s="272" t="s">
        <v>253</v>
      </c>
      <c r="P574" s="1" t="str" cm="1">
        <f t="array" ref="P574">IF(AND(UPPER(TRIM(SUBSTITUTE(Enginuity!$A$1,CHAR(160)," ")))="VITALLY",TRIM(INDEX($T:$T,ROW()))&lt;&gt;"",INDEX($V:$V,ROW())&lt;&gt;"",INDEX($V:$V,ROW())&lt;&gt;0,INDEX($W:$W,ROW())&lt;&gt;"",INDEX($W:$W,ROW())&lt;&gt;0),ROW(),"")</f>
        <v/>
      </c>
      <c r="W574" s="421"/>
    </row>
    <row r="575" spans="1:23">
      <c r="A575" s="272" t="s">
        <v>253</v>
      </c>
      <c r="P575" s="1" t="str" cm="1">
        <f t="array" ref="P575">IF(AND(UPPER(TRIM(SUBSTITUTE(Enginuity!$A$1,CHAR(160)," ")))="VITALLY",TRIM(INDEX($T:$T,ROW()))&lt;&gt;"",INDEX($V:$V,ROW())&lt;&gt;"",INDEX($V:$V,ROW())&lt;&gt;0,INDEX($W:$W,ROW())&lt;&gt;"",INDEX($W:$W,ROW())&lt;&gt;0),ROW(),"")</f>
        <v/>
      </c>
      <c r="W575" s="421"/>
    </row>
    <row r="576" spans="1:23">
      <c r="A576" s="272" t="s">
        <v>253</v>
      </c>
      <c r="P576" s="1" t="str" cm="1">
        <f t="array" ref="P576">IF(AND(UPPER(TRIM(SUBSTITUTE(Enginuity!$A$1,CHAR(160)," ")))="VITALLY",TRIM(INDEX($T:$T,ROW()))&lt;&gt;"",INDEX($V:$V,ROW())&lt;&gt;"",INDEX($V:$V,ROW())&lt;&gt;0,INDEX($W:$W,ROW())&lt;&gt;"",INDEX($W:$W,ROW())&lt;&gt;0),ROW(),"")</f>
        <v/>
      </c>
      <c r="W576" s="421"/>
    </row>
    <row r="577" spans="1:23">
      <c r="A577" s="272" t="s">
        <v>253</v>
      </c>
      <c r="P577" s="1" t="str" cm="1">
        <f t="array" ref="P577">IF(AND(UPPER(TRIM(SUBSTITUTE(Enginuity!$A$1,CHAR(160)," ")))="VITALLY",TRIM(INDEX($T:$T,ROW()))&lt;&gt;"",INDEX($V:$V,ROW())&lt;&gt;"",INDEX($V:$V,ROW())&lt;&gt;0,INDEX($W:$W,ROW())&lt;&gt;"",INDEX($W:$W,ROW())&lt;&gt;0),ROW(),"")</f>
        <v/>
      </c>
      <c r="W577" s="421"/>
    </row>
    <row r="578" spans="1:23">
      <c r="A578" s="272" t="s">
        <v>253</v>
      </c>
      <c r="P578" s="1" t="str" cm="1">
        <f t="array" ref="P578">IF(AND(UPPER(TRIM(SUBSTITUTE(Enginuity!$A$1,CHAR(160)," ")))="VITALLY",TRIM(INDEX($T:$T,ROW()))&lt;&gt;"",INDEX($V:$V,ROW())&lt;&gt;"",INDEX($V:$V,ROW())&lt;&gt;0,INDEX($W:$W,ROW())&lt;&gt;"",INDEX($W:$W,ROW())&lt;&gt;0),ROW(),"")</f>
        <v/>
      </c>
      <c r="W578" s="421"/>
    </row>
    <row r="579" spans="1:23">
      <c r="A579" s="272" t="s">
        <v>253</v>
      </c>
      <c r="P579" s="1" t="str" cm="1">
        <f t="array" ref="P579">IF(AND(UPPER(TRIM(SUBSTITUTE(Enginuity!$A$1,CHAR(160)," ")))="VITALLY",TRIM(INDEX($T:$T,ROW()))&lt;&gt;"",INDEX($V:$V,ROW())&lt;&gt;"",INDEX($V:$V,ROW())&lt;&gt;0,INDEX($W:$W,ROW())&lt;&gt;"",INDEX($W:$W,ROW())&lt;&gt;0),ROW(),"")</f>
        <v/>
      </c>
      <c r="W579" s="421"/>
    </row>
    <row r="580" spans="1:23">
      <c r="A580" s="272" t="s">
        <v>253</v>
      </c>
      <c r="P580" s="1" t="str" cm="1">
        <f t="array" ref="P580">IF(AND(UPPER(TRIM(SUBSTITUTE(Enginuity!$A$1,CHAR(160)," ")))="VITALLY",TRIM(INDEX($T:$T,ROW()))&lt;&gt;"",INDEX($V:$V,ROW())&lt;&gt;"",INDEX($V:$V,ROW())&lt;&gt;0,INDEX($W:$W,ROW())&lt;&gt;"",INDEX($W:$W,ROW())&lt;&gt;0),ROW(),"")</f>
        <v/>
      </c>
      <c r="W580" s="421"/>
    </row>
    <row r="581" spans="1:23">
      <c r="A581" s="272" t="s">
        <v>253</v>
      </c>
      <c r="P581" s="1" t="str" cm="1">
        <f t="array" ref="P581">IF(AND(UPPER(TRIM(SUBSTITUTE(Enginuity!$A$1,CHAR(160)," ")))="VITALLY",TRIM(INDEX($T:$T,ROW()))&lt;&gt;"",INDEX($V:$V,ROW())&lt;&gt;"",INDEX($V:$V,ROW())&lt;&gt;0,INDEX($W:$W,ROW())&lt;&gt;"",INDEX($W:$W,ROW())&lt;&gt;0),ROW(),"")</f>
        <v/>
      </c>
      <c r="W581" s="421"/>
    </row>
    <row r="582" spans="1:23">
      <c r="A582" s="272" t="s">
        <v>253</v>
      </c>
      <c r="P582" s="1" t="str" cm="1">
        <f t="array" ref="P582">IF(AND(UPPER(TRIM(SUBSTITUTE(Enginuity!$A$1,CHAR(160)," ")))="VITALLY",TRIM(INDEX($T:$T,ROW()))&lt;&gt;"",INDEX($V:$V,ROW())&lt;&gt;"",INDEX($V:$V,ROW())&lt;&gt;0,INDEX($W:$W,ROW())&lt;&gt;"",INDEX($W:$W,ROW())&lt;&gt;0),ROW(),"")</f>
        <v/>
      </c>
      <c r="W582" s="421"/>
    </row>
    <row r="583" spans="1:23">
      <c r="A583" s="272" t="s">
        <v>253</v>
      </c>
      <c r="P583" s="1" t="str" cm="1">
        <f t="array" ref="P583">IF(AND(UPPER(TRIM(SUBSTITUTE(Enginuity!$A$1,CHAR(160)," ")))="VITALLY",TRIM(INDEX($T:$T,ROW()))&lt;&gt;"",INDEX($V:$V,ROW())&lt;&gt;"",INDEX($V:$V,ROW())&lt;&gt;0,INDEX($W:$W,ROW())&lt;&gt;"",INDEX($W:$W,ROW())&lt;&gt;0),ROW(),"")</f>
        <v/>
      </c>
      <c r="W583" s="421"/>
    </row>
    <row r="584" spans="1:23">
      <c r="A584" s="272" t="s">
        <v>253</v>
      </c>
      <c r="P584" s="1" t="str" cm="1">
        <f t="array" ref="P584">IF(AND(UPPER(TRIM(SUBSTITUTE(Enginuity!$A$1,CHAR(160)," ")))="VITALLY",TRIM(INDEX($T:$T,ROW()))&lt;&gt;"",INDEX($V:$V,ROW())&lt;&gt;"",INDEX($V:$V,ROW())&lt;&gt;0,INDEX($W:$W,ROW())&lt;&gt;"",INDEX($W:$W,ROW())&lt;&gt;0),ROW(),"")</f>
        <v/>
      </c>
      <c r="W584" s="421"/>
    </row>
    <row r="585" spans="1:23">
      <c r="A585" s="272" t="s">
        <v>253</v>
      </c>
      <c r="P585" s="1" t="str" cm="1">
        <f t="array" ref="P585">IF(AND(UPPER(TRIM(SUBSTITUTE(Enginuity!$A$1,CHAR(160)," ")))="VITALLY",TRIM(INDEX($T:$T,ROW()))&lt;&gt;"",INDEX($V:$V,ROW())&lt;&gt;"",INDEX($V:$V,ROW())&lt;&gt;0,INDEX($W:$W,ROW())&lt;&gt;"",INDEX($W:$W,ROW())&lt;&gt;0),ROW(),"")</f>
        <v/>
      </c>
      <c r="W585" s="421"/>
    </row>
    <row r="586" spans="1:23">
      <c r="A586" s="272" t="s">
        <v>253</v>
      </c>
      <c r="P586" s="1" t="str" cm="1">
        <f t="array" ref="P586">IF(AND(UPPER(TRIM(SUBSTITUTE(Enginuity!$A$1,CHAR(160)," ")))="VITALLY",TRIM(INDEX($T:$T,ROW()))&lt;&gt;"",INDEX($V:$V,ROW())&lt;&gt;"",INDEX($V:$V,ROW())&lt;&gt;0,INDEX($W:$W,ROW())&lt;&gt;"",INDEX($W:$W,ROW())&lt;&gt;0),ROW(),"")</f>
        <v/>
      </c>
      <c r="W586" s="421"/>
    </row>
    <row r="587" spans="1:23">
      <c r="A587" s="272" t="s">
        <v>253</v>
      </c>
      <c r="P587" s="1" t="str" cm="1">
        <f t="array" ref="P587">IF(AND(UPPER(TRIM(SUBSTITUTE(Enginuity!$A$1,CHAR(160)," ")))="VITALLY",TRIM(INDEX($T:$T,ROW()))&lt;&gt;"",INDEX($V:$V,ROW())&lt;&gt;"",INDEX($V:$V,ROW())&lt;&gt;0,INDEX($W:$W,ROW())&lt;&gt;"",INDEX($W:$W,ROW())&lt;&gt;0),ROW(),"")</f>
        <v/>
      </c>
      <c r="W587" s="421"/>
    </row>
    <row r="588" spans="1:23">
      <c r="A588" s="272" t="s">
        <v>253</v>
      </c>
      <c r="P588" s="1" t="str" cm="1">
        <f t="array" ref="P588">IF(AND(UPPER(TRIM(SUBSTITUTE(Enginuity!$A$1,CHAR(160)," ")))="VITALLY",TRIM(INDEX($T:$T,ROW()))&lt;&gt;"",INDEX($V:$V,ROW())&lt;&gt;"",INDEX($V:$V,ROW())&lt;&gt;0,INDEX($W:$W,ROW())&lt;&gt;"",INDEX($W:$W,ROW())&lt;&gt;0),ROW(),"")</f>
        <v/>
      </c>
      <c r="W588" s="421"/>
    </row>
    <row r="589" spans="1:23">
      <c r="A589" s="272" t="s">
        <v>253</v>
      </c>
      <c r="P589" s="1" t="str" cm="1">
        <f t="array" ref="P589">IF(AND(UPPER(TRIM(SUBSTITUTE(Enginuity!$A$1,CHAR(160)," ")))="VITALLY",TRIM(INDEX($T:$T,ROW()))&lt;&gt;"",INDEX($V:$V,ROW())&lt;&gt;"",INDEX($V:$V,ROW())&lt;&gt;0,INDEX($W:$W,ROW())&lt;&gt;"",INDEX($W:$W,ROW())&lt;&gt;0),ROW(),"")</f>
        <v/>
      </c>
      <c r="W589" s="421"/>
    </row>
    <row r="590" spans="1:23">
      <c r="A590" s="272" t="s">
        <v>253</v>
      </c>
      <c r="P590" s="1" t="str" cm="1">
        <f t="array" ref="P590">IF(AND(UPPER(TRIM(SUBSTITUTE(Enginuity!$A$1,CHAR(160)," ")))="VITALLY",TRIM(INDEX($T:$T,ROW()))&lt;&gt;"",INDEX($V:$V,ROW())&lt;&gt;"",INDEX($V:$V,ROW())&lt;&gt;0,INDEX($W:$W,ROW())&lt;&gt;"",INDEX($W:$W,ROW())&lt;&gt;0),ROW(),"")</f>
        <v/>
      </c>
      <c r="W590" s="421"/>
    </row>
    <row r="591" spans="1:23">
      <c r="A591" s="272" t="s">
        <v>253</v>
      </c>
      <c r="P591" s="1" t="str" cm="1">
        <f t="array" ref="P591">IF(AND(UPPER(TRIM(SUBSTITUTE(Enginuity!$A$1,CHAR(160)," ")))="VITALLY",TRIM(INDEX($T:$T,ROW()))&lt;&gt;"",INDEX($V:$V,ROW())&lt;&gt;"",INDEX($V:$V,ROW())&lt;&gt;0,INDEX($W:$W,ROW())&lt;&gt;"",INDEX($W:$W,ROW())&lt;&gt;0),ROW(),"")</f>
        <v/>
      </c>
      <c r="W591" s="421"/>
    </row>
    <row r="592" spans="1:23">
      <c r="A592" s="272" t="s">
        <v>253</v>
      </c>
      <c r="P592" s="1" t="str" cm="1">
        <f t="array" ref="P592">IF(AND(UPPER(TRIM(SUBSTITUTE(Enginuity!$A$1,CHAR(160)," ")))="VITALLY",TRIM(INDEX($T:$T,ROW()))&lt;&gt;"",INDEX($V:$V,ROW())&lt;&gt;"",INDEX($V:$V,ROW())&lt;&gt;0,INDEX($W:$W,ROW())&lt;&gt;"",INDEX($W:$W,ROW())&lt;&gt;0),ROW(),"")</f>
        <v/>
      </c>
      <c r="W592" s="421"/>
    </row>
    <row r="593" spans="1:23">
      <c r="A593" s="272" t="s">
        <v>253</v>
      </c>
      <c r="P593" s="1" t="str" cm="1">
        <f t="array" ref="P593">IF(AND(UPPER(TRIM(SUBSTITUTE(Enginuity!$A$1,CHAR(160)," ")))="VITALLY",TRIM(INDEX($T:$T,ROW()))&lt;&gt;"",INDEX($V:$V,ROW())&lt;&gt;"",INDEX($V:$V,ROW())&lt;&gt;0,INDEX($W:$W,ROW())&lt;&gt;"",INDEX($W:$W,ROW())&lt;&gt;0),ROW(),"")</f>
        <v/>
      </c>
      <c r="W593" s="421"/>
    </row>
    <row r="594" spans="1:23">
      <c r="A594" s="272" t="s">
        <v>253</v>
      </c>
      <c r="P594" s="1" t="str" cm="1">
        <f t="array" ref="P594">IF(AND(UPPER(TRIM(SUBSTITUTE(Enginuity!$A$1,CHAR(160)," ")))="VITALLY",TRIM(INDEX($T:$T,ROW()))&lt;&gt;"",INDEX($V:$V,ROW())&lt;&gt;"",INDEX($V:$V,ROW())&lt;&gt;0,INDEX($W:$W,ROW())&lt;&gt;"",INDEX($W:$W,ROW())&lt;&gt;0),ROW(),"")</f>
        <v/>
      </c>
      <c r="W594" s="421"/>
    </row>
    <row r="595" spans="1:23">
      <c r="A595" s="272" t="s">
        <v>253</v>
      </c>
      <c r="P595" s="1" t="str" cm="1">
        <f t="array" ref="P595">IF(AND(UPPER(TRIM(SUBSTITUTE(Enginuity!$A$1,CHAR(160)," ")))="VITALLY",TRIM(INDEX($T:$T,ROW()))&lt;&gt;"",INDEX($V:$V,ROW())&lt;&gt;"",INDEX($V:$V,ROW())&lt;&gt;0,INDEX($W:$W,ROW())&lt;&gt;"",INDEX($W:$W,ROW())&lt;&gt;0),ROW(),"")</f>
        <v/>
      </c>
      <c r="W595" s="421"/>
    </row>
    <row r="596" spans="1:23">
      <c r="A596" s="272" t="s">
        <v>253</v>
      </c>
      <c r="P596" s="1" t="str" cm="1">
        <f t="array" ref="P596">IF(AND(UPPER(TRIM(SUBSTITUTE(Enginuity!$A$1,CHAR(160)," ")))="VITALLY",TRIM(INDEX($T:$T,ROW()))&lt;&gt;"",INDEX($V:$V,ROW())&lt;&gt;"",INDEX($V:$V,ROW())&lt;&gt;0,INDEX($W:$W,ROW())&lt;&gt;"",INDEX($W:$W,ROW())&lt;&gt;0),ROW(),"")</f>
        <v/>
      </c>
      <c r="W596" s="421"/>
    </row>
    <row r="597" spans="1:23">
      <c r="A597" s="272" t="s">
        <v>253</v>
      </c>
      <c r="P597" s="1" t="str" cm="1">
        <f t="array" ref="P597">IF(AND(UPPER(TRIM(SUBSTITUTE(Enginuity!$A$1,CHAR(160)," ")))="VITALLY",TRIM(INDEX($T:$T,ROW()))&lt;&gt;"",INDEX($V:$V,ROW())&lt;&gt;"",INDEX($V:$V,ROW())&lt;&gt;0,INDEX($W:$W,ROW())&lt;&gt;"",INDEX($W:$W,ROW())&lt;&gt;0),ROW(),"")</f>
        <v/>
      </c>
      <c r="W597" s="421"/>
    </row>
    <row r="598" spans="1:23">
      <c r="A598" s="272" t="s">
        <v>253</v>
      </c>
      <c r="P598" s="1" t="str" cm="1">
        <f t="array" ref="P598">IF(AND(UPPER(TRIM(SUBSTITUTE(Enginuity!$A$1,CHAR(160)," ")))="VITALLY",TRIM(INDEX($T:$T,ROW()))&lt;&gt;"",INDEX($V:$V,ROW())&lt;&gt;"",INDEX($V:$V,ROW())&lt;&gt;0,INDEX($W:$W,ROW())&lt;&gt;"",INDEX($W:$W,ROW())&lt;&gt;0),ROW(),"")</f>
        <v/>
      </c>
      <c r="W598" s="421"/>
    </row>
    <row r="599" spans="1:23">
      <c r="A599" s="272" t="s">
        <v>253</v>
      </c>
      <c r="P599" s="1" t="str" cm="1">
        <f t="array" ref="P599">IF(AND(UPPER(TRIM(SUBSTITUTE(Enginuity!$A$1,CHAR(160)," ")))="VITALLY",TRIM(INDEX($T:$T,ROW()))&lt;&gt;"",INDEX($V:$V,ROW())&lt;&gt;"",INDEX($V:$V,ROW())&lt;&gt;0,INDEX($W:$W,ROW())&lt;&gt;"",INDEX($W:$W,ROW())&lt;&gt;0),ROW(),"")</f>
        <v/>
      </c>
      <c r="W599" s="421"/>
    </row>
    <row r="600" spans="1:23">
      <c r="A600" s="406" t="s">
        <v>253</v>
      </c>
      <c r="B600" s="395"/>
      <c r="C600" s="395"/>
      <c r="D600" s="395"/>
      <c r="E600" s="395"/>
      <c r="F600" s="395"/>
      <c r="G600" s="395"/>
      <c r="H600" s="395"/>
      <c r="I600" s="395"/>
      <c r="J600" s="395"/>
      <c r="K600" s="395"/>
      <c r="L600" s="395"/>
      <c r="M600" s="395"/>
      <c r="N600" s="395"/>
      <c r="O600" s="395"/>
      <c r="P600" s="396" t="str" cm="1">
        <f t="array" ref="P600">IF(AND(UPPER(TRIM(SUBSTITUTE(Enginuity!$A$1,CHAR(160)," ")))="VITALLY",TRIM(INDEX($T:$T,ROW()))&lt;&gt;"",INDEX($V:$V,ROW())&lt;&gt;"",INDEX($V:$V,ROW())&lt;&gt;0,INDEX($W:$W,ROW())&lt;&gt;"",INDEX($W:$W,ROW())&lt;&gt;0),ROW(),"")</f>
        <v/>
      </c>
      <c r="Q600" s="396"/>
      <c r="R600" s="396"/>
      <c r="S600" s="411"/>
      <c r="T600" s="396"/>
      <c r="U600" s="396"/>
      <c r="V600" s="396"/>
      <c r="W600" s="422"/>
    </row>
    <row r="601" spans="1:23">
      <c r="A601" s="272" t="s">
        <v>253</v>
      </c>
      <c r="M601" s="405"/>
      <c r="W601" s="421"/>
    </row>
    <row r="602" spans="1:23">
      <c r="A602" s="272" t="s">
        <v>253</v>
      </c>
      <c r="W602" s="421"/>
    </row>
    <row r="603" spans="1:23">
      <c r="A603" s="272" t="s">
        <v>253</v>
      </c>
      <c r="W603" s="421"/>
    </row>
    <row r="604" spans="1:23">
      <c r="A604" s="272" t="s">
        <v>253</v>
      </c>
      <c r="W604" s="421"/>
    </row>
    <row r="605" spans="1:23">
      <c r="A605" s="272" t="s">
        <v>253</v>
      </c>
      <c r="W605" s="421"/>
    </row>
    <row r="606" spans="1:23">
      <c r="A606" s="272" t="s">
        <v>253</v>
      </c>
      <c r="W606" s="421"/>
    </row>
    <row r="607" spans="1:23">
      <c r="A607" s="272" t="s">
        <v>253</v>
      </c>
      <c r="W607" s="421"/>
    </row>
    <row r="608" spans="1:23">
      <c r="A608" s="272" t="s">
        <v>253</v>
      </c>
      <c r="W608" s="421"/>
    </row>
    <row r="609" spans="1:23">
      <c r="A609" s="272" t="s">
        <v>253</v>
      </c>
      <c r="W609" s="421"/>
    </row>
    <row r="610" spans="1:23">
      <c r="A610" s="272" t="s">
        <v>253</v>
      </c>
      <c r="W610" s="421"/>
    </row>
    <row r="611" spans="1:23">
      <c r="A611" s="272" t="s">
        <v>253</v>
      </c>
      <c r="W611" s="421"/>
    </row>
    <row r="612" spans="1:23">
      <c r="A612" s="272" t="s">
        <v>253</v>
      </c>
      <c r="W612" s="421"/>
    </row>
    <row r="613" spans="1:23">
      <c r="A613" s="272" t="s">
        <v>253</v>
      </c>
      <c r="W613" s="421"/>
    </row>
    <row r="614" spans="1:23">
      <c r="A614" s="272" t="s">
        <v>253</v>
      </c>
      <c r="W614" s="421"/>
    </row>
    <row r="615" spans="1:23">
      <c r="A615" s="272" t="s">
        <v>253</v>
      </c>
      <c r="W615" s="421"/>
    </row>
    <row r="616" spans="1:23">
      <c r="A616" s="272" t="s">
        <v>253</v>
      </c>
      <c r="W616" s="421"/>
    </row>
    <row r="617" spans="1:23">
      <c r="A617" s="272" t="s">
        <v>253</v>
      </c>
      <c r="W617" s="421"/>
    </row>
    <row r="618" spans="1:23">
      <c r="A618" s="272" t="s">
        <v>253</v>
      </c>
      <c r="W618" s="421"/>
    </row>
    <row r="619" spans="1:23">
      <c r="A619" s="272" t="s">
        <v>253</v>
      </c>
      <c r="W619" s="421"/>
    </row>
    <row r="620" spans="1:23">
      <c r="A620" s="272" t="s">
        <v>253</v>
      </c>
      <c r="W620" s="421"/>
    </row>
    <row r="621" spans="1:23">
      <c r="A621" s="272" t="s">
        <v>253</v>
      </c>
      <c r="W621" s="421"/>
    </row>
    <row r="622" spans="1:23">
      <c r="A622" s="272" t="s">
        <v>253</v>
      </c>
      <c r="W622" s="421"/>
    </row>
    <row r="623" spans="1:23">
      <c r="A623" s="272" t="s">
        <v>253</v>
      </c>
      <c r="W623" s="421"/>
    </row>
    <row r="624" spans="1:23">
      <c r="A624" s="272" t="s">
        <v>253</v>
      </c>
      <c r="W624" s="421"/>
    </row>
    <row r="625" spans="1:23">
      <c r="A625" s="272" t="s">
        <v>253</v>
      </c>
      <c r="W625" s="421"/>
    </row>
    <row r="626" spans="1:23">
      <c r="A626" s="272" t="s">
        <v>253</v>
      </c>
      <c r="W626" s="421"/>
    </row>
    <row r="627" spans="1:23">
      <c r="A627" s="272" t="s">
        <v>253</v>
      </c>
      <c r="W627" s="421"/>
    </row>
    <row r="628" spans="1:23">
      <c r="A628" s="272" t="s">
        <v>253</v>
      </c>
      <c r="W628" s="421"/>
    </row>
    <row r="629" spans="1:23">
      <c r="A629" s="272" t="s">
        <v>253</v>
      </c>
      <c r="W629" s="421"/>
    </row>
    <row r="630" spans="1:23">
      <c r="A630" s="272" t="s">
        <v>253</v>
      </c>
      <c r="W630" s="421"/>
    </row>
    <row r="631" spans="1:23">
      <c r="A631" s="431" t="s">
        <v>2442</v>
      </c>
      <c r="B631" s="408" t="s">
        <v>1841</v>
      </c>
      <c r="C631" s="408" t="s">
        <v>1357</v>
      </c>
      <c r="D631" s="408" t="s">
        <v>2454</v>
      </c>
      <c r="E631" s="408" t="str" cm="1">
        <f t="array" ref="E631:E640">IFERROR(INDEX(_xlfn._xlws.FILTER(CostData!$P$3:$P$12,CostData!$P$3:$P$12&lt;&gt;""),_xlfn.SEQUENCE(10)),"")</f>
        <v>Default</v>
      </c>
      <c r="F631" s="408" t="s">
        <v>2290</v>
      </c>
      <c r="G631" s="408"/>
      <c r="H631" s="408"/>
      <c r="I631" s="408"/>
      <c r="J631" s="408"/>
      <c r="K631" s="408"/>
      <c r="L631" s="408"/>
      <c r="M631" s="408">
        <v>0.29499999999999998</v>
      </c>
      <c r="N631" s="408">
        <f>IF(OR(Enginuity!$B$6="",N(Enginuity!$B$6)&lt;=0),"",_xlfn.LET(_xlpm.w,N(Enginuity!$B$6)*304.8,_xlpm.base,982,_xlpm.joint,5,_xlpm.autoBay,IF(_xlpm.w&gt;_xlpm.base*4-_xlpm.joint*3,"",1+ROUNDUP(MAX(0,_xlpm.w-_xlpm.base)/(_xlpm.base-_xlpm.joint),0)),_xlpm.manualBay,IF(Enginuity!$B$14="",_xlpm.autoBay,ROUNDUP(N(Enginuity!$B$14),0)),_xlpm.maxW,IF(_xlpm.manualBay="","",_xlpm.manualBay*_xlpm.base-(_xlpm.manualBay-1)*_xlpm.joint),IF(OR(_xlpm.autoBay="",_xlpm.manualBay&lt;_xlpm.autoBay,_xlpm.manualBay&gt;4,_xlpm.w&gt;_xlpm.maxW),"",(_xlpm.w+(_xlpm.manualBay-1)*_xlpm.joint)/_xlpm.manualBay)))</f>
        <v>816.13333333333333</v>
      </c>
      <c r="O631" s="408" t="s">
        <v>2451</v>
      </c>
      <c r="P631" s="404" t="str" cm="1">
        <f t="array" ref="P631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Q631" s="404"/>
      <c r="R631" s="404" t="str" cm="1">
        <f t="array" ref="R631">IF(INDEX($T:$T,ROW())="","",INDEX($T:$T,ROW()))</f>
        <v/>
      </c>
      <c r="S631" s="410"/>
      <c r="T631" s="404" t="str" cm="1">
        <f t="array" ref="T631">IFERROR(IF(OR(UPPER(TRIM(SUBSTITUTE(Enginuity!$A$1,CHAR(160)," ")))&lt;&gt;UPPER(TRIM(SUBSTITUTE(INDEX($A:$A,ROW()),CHAR(160)," "))),UPPER(TRIM(SUBSTITUTE(Enginuity!$A$18,CHAR(160)," ")))&lt;&gt;UPPER(TRIM(SUBSTITUTE(INDEX($C:$C,ROW()),CHAR(160)," "))),TRIM(SUBSTITUTE(Enginuity!$A$17,CHAR(160)," "))="",N(Enginuity!$B$6)&lt;=0,N(Enginuity!$B$7)&lt;=0,N(Enginuity!$B$13)&lt;=0),"",_xlfn.LET(_xlpm.w,N(Enginuity!$B$6)*304.8,_xlpm.h,N(Enginuity!$B$7)*304.8,_xlpm.setQty,MAX(1,N(Enginuity!$B$12)),_xlpm.bay,ROUNDUP(N(Enginuity!$B$13),0),_xlpm.base,982,_xlpm.joint,5,_xlpm.autoBay,IF(_xlpm.w&gt;_xlpm.base*4-_xlpm.joint*3,"",1+ROUNDUP(MAX(0,_xlpm.w-_xlpm.base)/(_xlpm.base-_xlpm.joint),0)),_xlpm.maxW,_xlpm.bay*_xlpm.base-(_xlpm.bay-1)*_xlpm.joint,_xlpm.cls,UPPER(TRIM(SUBSTITUTE(Enginuity!$B$18,CHAR(160)," "))),_xlpm.stdName,UPPER(TRIM(SUBSTITUTE(INDEX($F:$F,ROW()+1),CHAR(160)," "))),_xlpm.offName,UPPER(TRIM(SUBSTITUTE(INDEX($F:$F,ROW()+2),CHAR(160)," "))),_xlpm.isStd,AND(_xlpm.cls&lt;&gt;"",_xlpm.cls=_xlpm.stdName),_xlpm.isOff,AND(_xlpm.cls&lt;&gt;"",_xlpm.cls=_xlpm.offName),_xlpm.classOK,OR(_xlpm.isStd,_xlpm.isOff),_xlpm.classLabel,IF(_xlpm.isOff,"Off Standard","Standard"),_xlpm.hBand,IFERROR(MAX(_xlfn._xlws.FILTER(Breezway!$B$43:$B$62,(Breezway!$B$43:$B$62&lt;=_xlpm.h)*(Breezway!$B$43:$B$62&lt;&gt;""))),""),_xlpm.bladeCount,IF(_xlpm.hBand="","",_xlfn.XLOOKUP(_xlpm.hBand,Breezway!$B$43:$B$62,Breezway!$A$43:$A$62,"")),_xlpm.colNo,IF(AND(_xlpm.bay&gt;=1,_xlpm.bay&lt;=4,_xlpm.classOK),2+2*_xlpm.bay-IF(_xlpm.isStd,1,0),""),_xlpm.sysRate,IF(OR(_xlpm.autoBay="",_xlpm.bay&lt;_xlpm.autoBay,_xlpm.bay&gt;4,_xlpm.w&gt;_xlpm.maxW,_xlpm.hBand="",_xlpm.h&gt;MAX(Breezway!$B$43:$B$62),NOT(_xlpm.classOK)),"",INDEX(Breezway!$A$43:$J$62,MATCH(_xlpm.hBand,Breezway!$B$43:$B$62,0),_xlpm.colNo)),_xlpm.glassRaw,TRIM(SUBSTITUTE(Enginuity!$A$20,CHAR(160)," ")),_xlpm.glassDesc,TRIM(SUBSTITUTE(_xlpm.glassRaw," ★","")),_xlpm.glassRate,_xlfn.XLOOKUP(_xlpm.glassRaw,CostData!$P$3:$P$12,CostData!$Q$3:$Q$12,""),_xlpm.bladeW,MAX(0,(_xlpm.w-(_xlpm.bay+1)*25.4)/_xlpm.bay),_xlpm.bladeRate,IF(_xlpm.glassRate="","",MAX(2,(_xlpm.bladeW/304.8)*(152/304.8))*_xlpm.glassRate),_xlpm.valid,AND(_xlpm.sysRate&lt;&gt;"",_xlpm.bladeCount&lt;&gt;"",_xlpm.glassRaw&lt;&gt;"",UPPER(_xlpm.glassDesc)&lt;&gt;"DEFAULT",_xlpm.glassRate&lt;&gt;""),_xlpm.sysDesc,"Breezway 152mm Altair Easyscreen Window System with Security Bar - "&amp;_xlpm.bay&amp;" Bay - "&amp;_xlpm.classLabel&amp;" - "&amp;TEXT(_xlpm.hBand,"0")&amp;"mm H / "&amp;_xlpm.bladeCount&amp;" Blades",_xlpm.bladeDesc,_xlpm.glassDesc&amp;" - 152mm Breezway Louvre Blade - "&amp;TEXT(_xlpm.bladeW,"0.##")&amp;"mm Clear",_xlpm.descs,CHOOSE({1;2},_xlpm.sysDesc,_xlpm.bladeDesc),_xlpm.uoms,CHOOSE({1;2},"Set","Pcs"),_xlpm.qtys,CHOOSE({1;2},_xlpm.setQty,_xlpm.bladeCount*_xlpm.bay*_xlpm.setQty),_xlpm.rates,CHOOSE({1;2},_xlpm.sysRate,_xlpm.bladeRate),IF(_xlpm.valid,CHOOSE({1,2,3,4},_xlpm.descs,_xlpm.uoms,_xlpm.qtys,_xlpm.rates),""))),"")</f>
        <v/>
      </c>
      <c r="U631" s="404"/>
      <c r="V631" s="404"/>
      <c r="W631" s="434"/>
    </row>
    <row r="632" spans="1:23">
      <c r="A632" s="432" t="s">
        <v>2442</v>
      </c>
      <c r="B632" s="367" t="s">
        <v>1842</v>
      </c>
      <c r="C632" s="367" t="s">
        <v>1357</v>
      </c>
      <c r="E632" s="367" t="str">
        <v>Black Aluminium Mesh 1.6mm</v>
      </c>
      <c r="F632" s="367" t="s">
        <v>2452</v>
      </c>
      <c r="P632" s="1" t="str" cm="1">
        <f t="array" ref="P632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32" s="1" t="str" cm="1">
        <f t="array" ref="R632">IF(INDEX($T:$T,ROW())="","",INDEX($T:$T,ROW()))</f>
        <v/>
      </c>
      <c r="W632" s="421"/>
    </row>
    <row r="633" spans="1:23">
      <c r="A633" s="432" t="s">
        <v>2442</v>
      </c>
      <c r="B633" s="367" t="s">
        <v>382</v>
      </c>
      <c r="C633" s="367" t="s">
        <v>1357</v>
      </c>
      <c r="E633" s="367" t="str">
        <v>Black Aluminium Mesh 1.8mm</v>
      </c>
      <c r="F633" s="367" t="s">
        <v>2453</v>
      </c>
      <c r="P633" s="1" t="str" cm="1">
        <f t="array" ref="P633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33" s="1" t="str" cm="1">
        <f t="array" ref="R633">IF(INDEX($T:$T,ROW())="","",INDEX($T:$T,ROW()))</f>
        <v/>
      </c>
      <c r="W633" s="421"/>
    </row>
    <row r="634" spans="1:23">
      <c r="A634" s="432" t="s">
        <v>2442</v>
      </c>
      <c r="C634" s="367" t="s">
        <v>1357</v>
      </c>
      <c r="E634" s="367" t="str">
        <v>Black Stainless Steel Mesh 1.0mm</v>
      </c>
      <c r="P634" s="1" t="str" cm="1">
        <f t="array" ref="P634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34" s="1" t="str" cm="1">
        <f t="array" ref="R634">IF(INDEX($T:$T,ROW())="","",INDEX($T:$T,ROW()))</f>
        <v/>
      </c>
      <c r="W634" s="421"/>
    </row>
    <row r="635" spans="1:23">
      <c r="A635" s="432" t="s">
        <v>2442</v>
      </c>
      <c r="C635" s="367" t="s">
        <v>1357</v>
      </c>
      <c r="E635" s="367" t="str">
        <v/>
      </c>
      <c r="P635" s="1" t="str" cm="1">
        <f t="array" ref="P635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35" s="1" t="str" cm="1">
        <f t="array" ref="R635">IF(INDEX($T:$T,ROW())="","",INDEX($T:$T,ROW()))</f>
        <v/>
      </c>
      <c r="W635" s="421"/>
    </row>
    <row r="636" spans="1:23">
      <c r="A636" s="432" t="s">
        <v>2442</v>
      </c>
      <c r="C636" s="367" t="s">
        <v>1357</v>
      </c>
      <c r="E636" s="367" t="str">
        <v/>
      </c>
      <c r="P636" s="1" t="str" cm="1">
        <f t="array" ref="P636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36" s="1" t="str" cm="1">
        <f t="array" ref="R636">IF(INDEX($T:$T,ROW())="","",INDEX($T:$T,ROW()))</f>
        <v/>
      </c>
      <c r="W636" s="421"/>
    </row>
    <row r="637" spans="1:23">
      <c r="A637" s="432" t="s">
        <v>2442</v>
      </c>
      <c r="C637" s="367" t="s">
        <v>1357</v>
      </c>
      <c r="E637" s="367" t="str">
        <v/>
      </c>
      <c r="P637" s="1" t="str" cm="1">
        <f t="array" ref="P637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37" s="1" t="str" cm="1">
        <f t="array" ref="R637">IF(INDEX($T:$T,ROW())="","",INDEX($T:$T,ROW()))</f>
        <v/>
      </c>
      <c r="W637" s="421"/>
    </row>
    <row r="638" spans="1:23">
      <c r="A638" s="432" t="s">
        <v>2442</v>
      </c>
      <c r="C638" s="367" t="s">
        <v>1357</v>
      </c>
      <c r="E638" s="367" t="str">
        <v/>
      </c>
      <c r="P638" s="1" t="str" cm="1">
        <f t="array" ref="P638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38" s="1" t="str" cm="1">
        <f t="array" ref="R638">IF(INDEX($T:$T,ROW())="","",INDEX($T:$T,ROW()))</f>
        <v/>
      </c>
      <c r="W638" s="421"/>
    </row>
    <row r="639" spans="1:23">
      <c r="A639" s="432" t="s">
        <v>2442</v>
      </c>
      <c r="C639" s="367" t="s">
        <v>1357</v>
      </c>
      <c r="E639" s="367" t="str">
        <v/>
      </c>
      <c r="P639" s="1" t="str" cm="1">
        <f t="array" ref="P639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39" s="1" t="str" cm="1">
        <f t="array" ref="R639">IF(INDEX($T:$T,ROW())="","",INDEX($T:$T,ROW()))</f>
        <v/>
      </c>
      <c r="W639" s="421"/>
    </row>
    <row r="640" spans="1:23">
      <c r="A640" s="432" t="s">
        <v>2442</v>
      </c>
      <c r="C640" s="367" t="s">
        <v>1357</v>
      </c>
      <c r="E640" s="367" t="str">
        <v/>
      </c>
      <c r="P640" s="1" t="str" cm="1">
        <f t="array" ref="P640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40" s="1" t="str" cm="1">
        <f t="array" ref="R640">IF(INDEX($T:$T,ROW())="","",INDEX($T:$T,ROW()))</f>
        <v/>
      </c>
      <c r="W640" s="421"/>
    </row>
    <row r="641" spans="1:23">
      <c r="A641" s="432" t="s">
        <v>2442</v>
      </c>
      <c r="C641" s="367" t="s">
        <v>1357</v>
      </c>
      <c r="P641" s="1" t="str" cm="1">
        <f t="array" ref="P641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41" s="1" t="str" cm="1">
        <f t="array" ref="R641">IF(INDEX($T:$T,ROW())="","",INDEX($T:$T,ROW()))</f>
        <v/>
      </c>
      <c r="W641" s="421"/>
    </row>
    <row r="642" spans="1:23">
      <c r="A642" s="432" t="s">
        <v>2442</v>
      </c>
      <c r="C642" s="367" t="s">
        <v>1357</v>
      </c>
      <c r="P642" s="1" t="str" cm="1">
        <f t="array" ref="P642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42" s="1" t="str" cm="1">
        <f t="array" ref="R642">IF(INDEX($T:$T,ROW())="","",INDEX($T:$T,ROW()))</f>
        <v/>
      </c>
      <c r="W642" s="421"/>
    </row>
    <row r="643" spans="1:23">
      <c r="A643" s="432" t="s">
        <v>2442</v>
      </c>
      <c r="C643" s="367" t="s">
        <v>1357</v>
      </c>
      <c r="P643" s="1" t="str" cm="1">
        <f t="array" ref="P643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43" s="1" t="str" cm="1">
        <f t="array" ref="R643">IF(INDEX($T:$T,ROW())="","",INDEX($T:$T,ROW()))</f>
        <v/>
      </c>
      <c r="W643" s="421"/>
    </row>
    <row r="644" spans="1:23">
      <c r="A644" s="432" t="s">
        <v>2442</v>
      </c>
      <c r="C644" s="367" t="s">
        <v>1357</v>
      </c>
      <c r="P644" s="1" t="str" cm="1">
        <f t="array" ref="P644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44" s="1" t="str" cm="1">
        <f t="array" ref="R644">IF(INDEX($T:$T,ROW())="","",INDEX($T:$T,ROW()))</f>
        <v/>
      </c>
      <c r="W644" s="421"/>
    </row>
    <row r="645" spans="1:23">
      <c r="A645" s="432" t="s">
        <v>2442</v>
      </c>
      <c r="C645" s="367" t="s">
        <v>1357</v>
      </c>
      <c r="P645" s="1" t="str" cm="1">
        <f t="array" ref="P645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45" s="1" t="str" cm="1">
        <f t="array" ref="R645">IF(INDEX($T:$T,ROW())="","",INDEX($T:$T,ROW()))</f>
        <v/>
      </c>
      <c r="W645" s="421"/>
    </row>
    <row r="646" spans="1:23">
      <c r="A646" s="432" t="s">
        <v>2442</v>
      </c>
      <c r="C646" s="367" t="s">
        <v>1357</v>
      </c>
      <c r="P646" s="1" t="str" cm="1">
        <f t="array" ref="P646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Q646" s="1" t="str" cm="1">
        <f t="array" ref="Q646">_xlfn.LET(_xlpm.cd,TRIM(INDEX($S:$S,ROW())),IF(_xlpm.cd="","",IF(_xlpm.cd="Panel / Infill","Panel / Infill",_xlfn.XLOOKUP(_xlpm.cd,CostData!$C$22:$C$1000,CostData!$B$22:$B$1000,_xlfn.XLOOKUP(_xlpm.cd,CostData!$U$22:$U$1000,CostData!$T$22:$T$1000,"")))))</f>
        <v>Panel / Infill</v>
      </c>
      <c r="R646" s="1" t="str">
        <f>IF($T646="","","⬒ "&amp;$T646)</f>
        <v>⬒ Default</v>
      </c>
      <c r="S646" s="24" t="s">
        <v>1828</v>
      </c>
      <c r="T646" s="1" t="str" cm="1">
        <f t="array" ref="T646">_xlfn.LET(_xlpm.cd,TRIM(INDEX($S:$S,ROW())),IF(_xlpm.cd="","",IF(_xlpm.cd="Panel / Infill",IF(Enginuity!$A$20="","",Enginuity!$A$20),_xlfn.XLOOKUP(_xlpm.cd,CostData!$C$22:$C$1000,CostData!$E$22:$E$1000,_xlfn.XLOOKUP(_xlpm.cd,CostData!$U$22:$U$1000,CostData!$W$22:$W$1000,"")))))</f>
        <v>Default</v>
      </c>
      <c r="U646" s="1" t="str" cm="1">
        <f t="array" ref="U646">_xlfn.LET(_xlpm.cd,TRIM(INDEX($S:$S,ROW())),IF(_xlpm.cd="","",IF(_xlpm.cd="Panel / Infill","Sqft",IF(COUNTIF(CostData!$C$22:$C$1000,_xlpm.cd)&gt;0,"Ft",_xlfn.XLOOKUP(_xlpm.cd,CostData!$U$22:$U$1000,CostData!$AA$22:$AA$1000,"")))))</f>
        <v>Sqft</v>
      </c>
      <c r="V646" s="1" t="str">
        <f>IF(LEFT(UPPER(TRIM(SUBSTITUTE(Enginuity!$A$21,CHAR(160)," "))),8)="BREEZWAY","",IF(Enginuity!$B$9="","",Enginuity!$B$9))</f>
        <v/>
      </c>
      <c r="W646" s="421" cm="1">
        <f t="array" ref="W646">_xlfn.LET(_xlpm.cd,TRIM(INDEX($S:$S,ROW())),_xlpm.fin,TRIM(Enginuity!$A$19),_xlpm.p,IFERROR(_xlfn.XMATCH(_xlpm.cd,CostData!$C$22:$C$1000,0),0),_xlpm.h,IFERROR(_xlfn.XMATCH(_xlpm.cd,CostData!$U$22:$U$1000,0),0),IF(_xlpm.cd="","",IF(_xlpm.cd="Panel / Infill",IFERROR(_xlfn.XLOOKUP(TRIM(Enginuity!$A$20),CostData!$P$3:$P$12,CostData!$Q$3:$Q$12,""),""),IF(_xlpm.p&gt;0,_xlfn.SWITCH(_xlpm.fin,"AP",INDEX(CostData!$G$22:$G$1000,_xlpm.p),"N/A",INDEX(CostData!$H$22:$H$1000,_xlpm.p),"M/B",INDEX(CostData!$I$22:$I$1000,_xlpm.p),"P/C",INDEX(CostData!$J$22:$J$1000,_xlpm.p),"W/G",INDEX(CostData!$K$22:$K$1000,_xlpm.p),""),IF(_xlpm.h&gt;0,INDEX(CostData!$AC$22:$AC$1000,_xlpm.h),"")))))</f>
        <v>3.9</v>
      </c>
    </row>
    <row r="647" spans="1:23">
      <c r="A647" s="432" t="s">
        <v>2442</v>
      </c>
      <c r="C647" s="367" t="s">
        <v>1357</v>
      </c>
      <c r="P647" s="1" t="str" cm="1">
        <f t="array" ref="P647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47" s="1" t="str" cm="1">
        <f t="array" ref="R647">IF(INDEX($T:$T,ROW())="","",INDEX($T:$T,ROW()))</f>
        <v/>
      </c>
      <c r="W647" s="421"/>
    </row>
    <row r="648" spans="1:23">
      <c r="A648" s="432" t="s">
        <v>2442</v>
      </c>
      <c r="C648" s="367" t="s">
        <v>1357</v>
      </c>
      <c r="P648" s="1" t="str" cm="1">
        <f t="array" ref="P648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48" s="1" t="str" cm="1">
        <f t="array" ref="R648">IF(INDEX($T:$T,ROW())="","",INDEX($T:$T,ROW()))</f>
        <v/>
      </c>
      <c r="W648" s="421"/>
    </row>
    <row r="649" spans="1:23">
      <c r="A649" s="432" t="s">
        <v>2442</v>
      </c>
      <c r="C649" s="367" t="s">
        <v>1357</v>
      </c>
      <c r="P649" s="1" t="str" cm="1">
        <f t="array" ref="P649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49" s="1" t="str" cm="1">
        <f t="array" ref="R649">IF(INDEX($T:$T,ROW())="","",INDEX($T:$T,ROW()))</f>
        <v/>
      </c>
      <c r="W649" s="421"/>
    </row>
    <row r="650" spans="1:23">
      <c r="A650" s="432" t="s">
        <v>2442</v>
      </c>
      <c r="C650" s="367" t="s">
        <v>1357</v>
      </c>
      <c r="P650" s="1" t="str" cm="1">
        <f t="array" ref="P650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0" s="1" t="str" cm="1">
        <f t="array" ref="R650">IF(INDEX($T:$T,ROW())="","",INDEX($T:$T,ROW()))</f>
        <v/>
      </c>
      <c r="W650" s="421"/>
    </row>
    <row r="651" spans="1:23">
      <c r="A651" s="432" t="s">
        <v>2442</v>
      </c>
      <c r="C651" s="367" t="s">
        <v>1357</v>
      </c>
      <c r="P651" s="1" t="str" cm="1">
        <f t="array" ref="P651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1" s="1" t="str" cm="1">
        <f t="array" ref="R651">IF(INDEX($T:$T,ROW())="","",INDEX($T:$T,ROW()))</f>
        <v/>
      </c>
      <c r="W651" s="421"/>
    </row>
    <row r="652" spans="1:23">
      <c r="A652" s="432" t="s">
        <v>2442</v>
      </c>
      <c r="C652" s="367" t="s">
        <v>1357</v>
      </c>
      <c r="P652" s="1" t="str" cm="1">
        <f t="array" ref="P652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2" s="1" t="str" cm="1">
        <f t="array" ref="R652">IF(INDEX($T:$T,ROW())="","",INDEX($T:$T,ROW()))</f>
        <v/>
      </c>
      <c r="W652" s="421"/>
    </row>
    <row r="653" spans="1:23">
      <c r="A653" s="432" t="s">
        <v>2442</v>
      </c>
      <c r="C653" s="367" t="s">
        <v>1357</v>
      </c>
      <c r="P653" s="1" t="str" cm="1">
        <f t="array" ref="P653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3" s="1" t="str" cm="1">
        <f t="array" ref="R653">IF(INDEX($T:$T,ROW())="","",INDEX($T:$T,ROW()))</f>
        <v/>
      </c>
      <c r="W653" s="421"/>
    </row>
    <row r="654" spans="1:23">
      <c r="A654" s="432" t="s">
        <v>2442</v>
      </c>
      <c r="C654" s="367" t="s">
        <v>1357</v>
      </c>
      <c r="P654" s="1" t="str" cm="1">
        <f t="array" ref="P654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4" s="1" t="str" cm="1">
        <f t="array" ref="R654">IF(INDEX($T:$T,ROW())="","",INDEX($T:$T,ROW()))</f>
        <v/>
      </c>
      <c r="W654" s="421"/>
    </row>
    <row r="655" spans="1:23">
      <c r="A655" s="432" t="s">
        <v>2442</v>
      </c>
      <c r="C655" s="367" t="s">
        <v>1357</v>
      </c>
      <c r="P655" s="1" t="str" cm="1">
        <f t="array" ref="P655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5" s="1" t="str" cm="1">
        <f t="array" ref="R655">IF(INDEX($T:$T,ROW())="","",INDEX($T:$T,ROW()))</f>
        <v/>
      </c>
      <c r="W655" s="421"/>
    </row>
    <row r="656" spans="1:23">
      <c r="A656" s="432" t="s">
        <v>2442</v>
      </c>
      <c r="C656" s="367" t="s">
        <v>1357</v>
      </c>
      <c r="P656" s="1" t="str" cm="1">
        <f t="array" ref="P656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6" s="1" t="str" cm="1">
        <f t="array" ref="R656">IF(INDEX($T:$T,ROW())="","",INDEX($T:$T,ROW()))</f>
        <v/>
      </c>
      <c r="W656" s="421"/>
    </row>
    <row r="657" spans="1:23">
      <c r="A657" s="432" t="s">
        <v>2442</v>
      </c>
      <c r="C657" s="367" t="s">
        <v>1357</v>
      </c>
      <c r="P657" s="1" t="str" cm="1">
        <f t="array" ref="P657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7" s="1" t="str" cm="1">
        <f t="array" ref="R657">IF(INDEX($T:$T,ROW())="","",INDEX($T:$T,ROW()))</f>
        <v/>
      </c>
      <c r="W657" s="421"/>
    </row>
    <row r="658" spans="1:23">
      <c r="A658" s="432" t="s">
        <v>2442</v>
      </c>
      <c r="C658" s="367" t="s">
        <v>1357</v>
      </c>
      <c r="P658" s="1" t="str" cm="1">
        <f t="array" ref="P658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8" s="1" t="str" cm="1">
        <f t="array" ref="R658">IF(INDEX($T:$T,ROW())="","",INDEX($T:$T,ROW()))</f>
        <v/>
      </c>
      <c r="W658" s="421"/>
    </row>
    <row r="659" spans="1:23">
      <c r="A659" s="432" t="s">
        <v>2442</v>
      </c>
      <c r="C659" s="367" t="s">
        <v>1357</v>
      </c>
      <c r="P659" s="1" t="str" cm="1">
        <f t="array" ref="P659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R659" s="1" t="str" cm="1">
        <f t="array" ref="R659">IF(INDEX($T:$T,ROW())="","",INDEX($T:$T,ROW()))</f>
        <v/>
      </c>
      <c r="W659" s="421"/>
    </row>
    <row r="660" spans="1:23">
      <c r="A660" s="433" t="s">
        <v>2442</v>
      </c>
      <c r="B660" s="395"/>
      <c r="C660" s="395" t="s">
        <v>1357</v>
      </c>
      <c r="D660" s="395"/>
      <c r="E660" s="395"/>
      <c r="F660" s="395"/>
      <c r="G660" s="395"/>
      <c r="H660" s="395"/>
      <c r="I660" s="395"/>
      <c r="J660" s="395"/>
      <c r="K660" s="395"/>
      <c r="L660" s="395"/>
      <c r="M660" s="395"/>
      <c r="N660" s="395"/>
      <c r="O660" s="395"/>
      <c r="P660" s="396" t="str" cm="1">
        <f t="array" ref="P660">IF(AND(UPPER(TRIM(SUBSTITUTE(INDEX($A:$A,ROW()),CHAR(160)," ")))=UPPER(TRIM(SUBSTITUTE(Enginuity!$A$1,CHAR(160)," "))),UPPER(TRIM(SUBSTITUTE(INDEX($C:$C,ROW()),CHAR(160)," ")))=UPPER(TRIM(SUBSTITUTE(Enginuity!$A$18,CHAR(160)," "))),TRIM(INDEX($T:$T,ROW()))&lt;&gt;"",N(INDEX($V:$V,ROW()))&gt;0,N(INDEX($W:$W,ROW()))&gt;0),ROW(),"")</f>
        <v/>
      </c>
      <c r="Q660" s="396"/>
      <c r="R660" s="396" t="str" cm="1">
        <f t="array" ref="R660">IF(INDEX($T:$T,ROW())="","",INDEX($T:$T,ROW()))</f>
        <v/>
      </c>
      <c r="S660" s="411"/>
      <c r="T660" s="396"/>
      <c r="U660" s="396"/>
      <c r="V660" s="396"/>
      <c r="W660" s="422"/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5" priority="5"/>
  </conditionalFormatting>
  <conditionalFormatting sqref="T31:W31 P31">
    <cfRule type="duplicateValues" dxfId="4" priority="1"/>
  </conditionalFormatting>
  <conditionalFormatting sqref="T60:W60 P60">
    <cfRule type="duplicateValues" dxfId="3" priority="8"/>
  </conditionalFormatting>
  <pageMargins left="0.7" right="0.7" top="0.75" bottom="0.75" header="0.3" footer="0.3"/>
  <pageSetup orientation="portrait" horizontalDpi="1200" verticalDpi="1200" r:id="rId1"/>
  <ignoredErrors>
    <ignoredError sqref="R47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D1" zoomScale="75" zoomScaleNormal="75" workbookViewId="0">
      <pane ySplit="35" topLeftCell="A414" activePane="bottomLeft" state="frozen"/>
      <selection pane="bottomLeft" activeCell="P419" sqref="P419:Q419"/>
    </sheetView>
  </sheetViews>
  <sheetFormatPr defaultRowHeight="15"/>
  <cols>
    <col min="1" max="1" width="19.5703125" style="367" bestFit="1" customWidth="1"/>
    <col min="2" max="2" width="11" style="367" bestFit="1" customWidth="1"/>
    <col min="3" max="3" width="20.5703125" style="367" bestFit="1" customWidth="1"/>
    <col min="4" max="4" width="12.5703125" style="1" bestFit="1" customWidth="1"/>
    <col min="5" max="5" width="25.42578125" style="1" bestFit="1" customWidth="1"/>
    <col min="6" max="6" width="10.7109375" style="297" customWidth="1"/>
    <col min="7" max="7" width="8.7109375" style="297" customWidth="1"/>
    <col min="8" max="11" width="6.42578125" style="391" bestFit="1" customWidth="1"/>
    <col min="12" max="12" width="7.140625" style="367" bestFit="1" customWidth="1"/>
    <col min="13" max="13" width="10.42578125" style="367" bestFit="1" customWidth="1"/>
    <col min="14" max="14" width="1.7109375" style="397" customWidth="1"/>
    <col min="15" max="15" width="12" style="367" bestFit="1" customWidth="1"/>
    <col min="16" max="16" width="61.140625" style="367" bestFit="1" customWidth="1"/>
    <col min="17" max="17" width="15.42578125" style="367" bestFit="1" customWidth="1"/>
    <col min="18" max="18" width="1.7109375" style="397" customWidth="1"/>
    <col min="19" max="19" width="4.5703125" style="1" bestFit="1" customWidth="1"/>
    <col min="20" max="20" width="7.7109375" style="367" bestFit="1" customWidth="1"/>
    <col min="21" max="21" width="25.7109375" style="1" bestFit="1" customWidth="1"/>
    <col min="22" max="22" width="12.42578125" style="16" customWidth="1"/>
    <col min="23" max="23" width="46.140625" style="367" customWidth="1"/>
    <col min="24" max="24" width="9.42578125" style="367" bestFit="1" customWidth="1"/>
    <col min="25" max="25" width="10.28515625" style="367" bestFit="1" customWidth="1"/>
    <col min="26" max="26" width="11" style="1" bestFit="1" customWidth="1"/>
    <col min="27" max="27" width="8.140625" style="1" bestFit="1" customWidth="1"/>
    <col min="28" max="28" width="9.140625" style="367"/>
    <col min="29" max="29" width="9.42578125" style="367" bestFit="1" customWidth="1"/>
    <col min="30" max="30" width="4.5703125" style="367" bestFit="1" customWidth="1"/>
    <col min="31" max="31" width="5.7109375" style="367" bestFit="1" customWidth="1"/>
    <col min="32" max="32" width="10.85546875" style="367" bestFit="1" customWidth="1"/>
    <col min="33" max="33" width="9.42578125" style="367" bestFit="1" customWidth="1"/>
    <col min="34" max="34" width="11" style="367" bestFit="1" customWidth="1"/>
    <col min="35" max="35" width="9.42578125" style="367" bestFit="1" customWidth="1"/>
    <col min="36" max="36" width="10.28515625" style="367" bestFit="1" customWidth="1"/>
    <col min="37" max="37" width="6.85546875" style="367" bestFit="1" customWidth="1"/>
    <col min="38" max="38" width="4.85546875" style="367" bestFit="1" customWidth="1"/>
    <col min="39" max="39" width="8.140625" style="367" bestFit="1" customWidth="1"/>
    <col min="40" max="16384" width="9.140625" style="367"/>
  </cols>
  <sheetData>
    <row r="1" spans="1:17">
      <c r="A1" s="367" t="s">
        <v>1788</v>
      </c>
      <c r="B1" s="367" t="s">
        <v>1693</v>
      </c>
    </row>
    <row r="2" spans="1:17">
      <c r="A2" s="367" t="s">
        <v>1797</v>
      </c>
      <c r="B2" s="391">
        <v>23.1</v>
      </c>
      <c r="D2" s="1" t="s">
        <v>1820</v>
      </c>
      <c r="E2" s="1" t="s">
        <v>1821</v>
      </c>
      <c r="F2" s="297" t="s">
        <v>1822</v>
      </c>
      <c r="G2" s="297" t="s">
        <v>1823</v>
      </c>
      <c r="P2" s="1" t="s">
        <v>1828</v>
      </c>
      <c r="Q2" s="1" t="s">
        <v>141</v>
      </c>
    </row>
    <row r="3" spans="1:17">
      <c r="A3" s="367" t="s">
        <v>1798</v>
      </c>
      <c r="B3" s="391">
        <v>25.6</v>
      </c>
      <c r="D3" s="1" t="s">
        <v>1824</v>
      </c>
      <c r="E3" s="1" t="s">
        <v>1825</v>
      </c>
      <c r="F3" s="297" t="s">
        <v>1793</v>
      </c>
      <c r="G3" s="297" t="s">
        <v>1791</v>
      </c>
      <c r="P3" t="s">
        <v>976</v>
      </c>
      <c r="Q3" s="5">
        <v>3.9</v>
      </c>
    </row>
    <row r="4" spans="1:17">
      <c r="A4" s="367" t="s">
        <v>1799</v>
      </c>
      <c r="B4" s="391">
        <v>20.7</v>
      </c>
      <c r="D4" s="1" t="s">
        <v>1826</v>
      </c>
      <c r="E4" s="1" t="s">
        <v>1827</v>
      </c>
      <c r="F4" s="297" t="s">
        <v>1791</v>
      </c>
      <c r="G4" s="297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Black Aluminium Mesh 1.6mm</v>
      </c>
      <c r="Q4" s="5">
        <f>IF(P4="","",IFERROR(_xlfn.XLOOKUP(TRIM(SUBSTITUTE(P4," ★","")),CostData!$P$22:$P$1000,CostData!$Q$22:$Q$1000,""),""))</f>
        <v>13.5</v>
      </c>
    </row>
    <row r="5" spans="1:17">
      <c r="A5" s="367" t="s">
        <v>1800</v>
      </c>
      <c r="B5" s="391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Black Aluminium Mesh 1.8mm</v>
      </c>
      <c r="Q5" s="5">
        <f>IF(P5="","",IFERROR(_xlfn.XLOOKUP(TRIM(SUBSTITUTE(P5," ★","")),CostData!$P$22:$P$1000,CostData!$Q$22:$Q$1000,""),""))</f>
        <v>15</v>
      </c>
    </row>
    <row r="6" spans="1:17">
      <c r="A6" s="367" t="s">
        <v>1801</v>
      </c>
      <c r="B6" s="391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Black Stainless Steel Mesh 1.0mm</v>
      </c>
      <c r="Q6" s="5">
        <f>IF(P6="","",IFERROR(_xlfn.XLOOKUP(TRIM(SUBSTITUTE(P6," ★","")),CostData!$P$22:$P$1000,CostData!$Q$22:$Q$1000,""),""))</f>
        <v>18.75</v>
      </c>
    </row>
    <row r="7" spans="1:17">
      <c r="A7" s="367" t="s">
        <v>1802</v>
      </c>
      <c r="B7" s="391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>
      <c r="A8" s="367" t="s">
        <v>1803</v>
      </c>
      <c r="B8" s="391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>
      <c r="A9" s="367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>
      <c r="A10" s="367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>
      <c r="A11" s="367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>
      <c r="A12" s="367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>
      <c r="A13" s="367" t="s">
        <v>1817</v>
      </c>
      <c r="B13" s="2">
        <v>4</v>
      </c>
      <c r="P13" s="179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2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>
      <c r="A14" s="367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>
      <c r="A15" s="367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>
      <c r="A16" s="367" t="s">
        <v>1807</v>
      </c>
      <c r="B16" s="2" t="s">
        <v>1793</v>
      </c>
    </row>
    <row r="17" spans="1:29">
      <c r="A17" s="367" t="s">
        <v>1819</v>
      </c>
      <c r="B17" s="393">
        <v>0.05</v>
      </c>
    </row>
    <row r="18" spans="1:29">
      <c r="A18" s="367" t="s">
        <v>1851</v>
      </c>
      <c r="B18" s="393">
        <v>0.03</v>
      </c>
    </row>
    <row r="19" spans="1:29">
      <c r="A19" s="387" t="s">
        <v>1812</v>
      </c>
      <c r="O19" s="387" t="s">
        <v>1828</v>
      </c>
      <c r="S19" s="407" t="s">
        <v>1850</v>
      </c>
    </row>
    <row r="20" spans="1:29">
      <c r="A20" s="389" t="s">
        <v>1808</v>
      </c>
      <c r="B20" s="390"/>
      <c r="C20" s="390"/>
      <c r="D20" s="244"/>
      <c r="E20" s="17"/>
    </row>
    <row r="21" spans="1:29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7" t="s">
        <v>1488</v>
      </c>
      <c r="G21" s="297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1845</v>
      </c>
      <c r="Y21" s="1" t="s">
        <v>1846</v>
      </c>
      <c r="Z21" s="26" t="s">
        <v>1847</v>
      </c>
      <c r="AA21" s="1" t="s">
        <v>1848</v>
      </c>
      <c r="AB21" s="26" t="s">
        <v>1870</v>
      </c>
      <c r="AC21" s="26" t="s">
        <v>1849</v>
      </c>
    </row>
    <row r="22" spans="1:29">
      <c r="A22" s="367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7" t="s">
        <v>1967</v>
      </c>
      <c r="D22" s="1" t="s">
        <v>1968</v>
      </c>
      <c r="E22" s="1" t="s">
        <v>1968</v>
      </c>
      <c r="F22" s="297">
        <v>0.21199999999999999</v>
      </c>
      <c r="G22" s="297">
        <v>101.6</v>
      </c>
      <c r="H22" s="391">
        <f>IF($C22="","",ROUND((($B$2*$F22*($B$5/1000))/$B$6)*(1+IF($B$18="",0,$B$18)),2))/12</f>
        <v>0.12833333333333333</v>
      </c>
      <c r="I22" s="391">
        <f>IF($C22="","",ROUND((($B$3*$F22*($B$5/1000))/$B$6)*(1+IF($B$18="",0,$B$18)),2))/12</f>
        <v>0.14166666666666666</v>
      </c>
      <c r="J22" s="391">
        <f>IF(OR($C22="",$B$9="",$B$15=""),"",ROUND((((((IF($B$15="N/A",$B$2,$B$4))*$F22*($B$5/1000))+((($G22/1000)*($B$5/1000)*10.7639104)*(IF($B$9="Smooth",$B$10,IF($B$9="Sand",$B$11,0)))))*(1+$B$17))/$B$8)*(1+IF($B$18="",0,$B$18)),2))/12</f>
        <v>0.16083333333333333</v>
      </c>
      <c r="K22" s="391">
        <f>IF(OR($C22="",$B$12="",$B$15=""),"",ROUND((((((IF($B$15="N/A",$B$2,$B$4))*$F22*($B$5/1000))+((($G22/1000)*($B$5/1000)*10.7639104)*(IF($B$12="Indoor",$B$13,IF($B$12="Outdoor",$B$14,0)))))*(1+$B$17))/$B$8)*(1+IF($B$18="",0,$B$18)),2))/12</f>
        <v>0.25416666666666665</v>
      </c>
      <c r="O22" s="367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7" t="s">
        <v>1883</v>
      </c>
      <c r="U22" s="1" t="s">
        <v>1884</v>
      </c>
      <c r="V22" s="16" t="s">
        <v>1883</v>
      </c>
      <c r="W22" s="367" t="s">
        <v>1885</v>
      </c>
      <c r="X22" s="367" t="s">
        <v>1886</v>
      </c>
      <c r="Y22" s="367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>
      <c r="A23" s="367">
        <v>2</v>
      </c>
      <c r="B23" s="367" t="s">
        <v>1810</v>
      </c>
      <c r="C23" s="16" t="s">
        <v>1946</v>
      </c>
      <c r="D23" s="1" t="s">
        <v>1939</v>
      </c>
      <c r="E23" s="1" t="s">
        <v>1939</v>
      </c>
      <c r="F23" s="297">
        <v>0.186</v>
      </c>
      <c r="G23" s="297">
        <v>121.97</v>
      </c>
      <c r="H23" s="391">
        <f t="shared" ref="H23:H51" si="0">IF($C23="","",ROUND((($B$2*$F23*($B$5/1000))/$B$6)*(1+IF($B$18="",0,$B$18)),2))</f>
        <v>1.35</v>
      </c>
      <c r="I23" s="391">
        <f t="shared" ref="I23:I51" si="1">IF($C23="","",ROUND((($B$3*$F23*($B$5/1000))/$B$6)*(1+IF($B$18="",0,$B$18)),2))</f>
        <v>1.49</v>
      </c>
      <c r="J23" s="391">
        <f t="shared" ref="J23:J51" si="2">IF(OR($C23="",$B$9="",$B$15=""),"",ROUND((((((IF($B$15="N/A",$B$2,$B$4))*$F23*($B$5/1000))+((($G23/1000)*($B$5/1000)*10.7639104)*(IF($B$9="Smooth",$B$10,IF($B$9="Sand",$B$11,0)))))*(1+$B$17))/$B$8)*(1+IF($B$18="",0,$B$18)),2))</f>
        <v>1.84</v>
      </c>
      <c r="K23" s="391">
        <f t="shared" ref="K23:K51" si="3">IF(OR($C23="",$B$12="",$B$15=""),"",ROUND((((((IF($B$15="N/A",$B$2,$B$4))*$F23*($B$5/1000))+((($G23/1000)*($B$5/1000)*10.7639104)*(IF($B$12="Indoor",$B$13,IF($B$12="Outdoor",$B$14,0)))))*(1+$B$17))/$B$8)*(1+IF($B$18="",0,$B$18)),2))</f>
        <v>3.19</v>
      </c>
      <c r="O23" s="367">
        <v>2</v>
      </c>
      <c r="P23" t="s">
        <v>992</v>
      </c>
      <c r="Q23" s="5">
        <v>5.0999999999999996</v>
      </c>
      <c r="S23" s="1">
        <v>2</v>
      </c>
      <c r="T23" s="367" t="s">
        <v>1883</v>
      </c>
      <c r="U23" s="1" t="s">
        <v>1887</v>
      </c>
      <c r="V23" s="16" t="s">
        <v>1883</v>
      </c>
      <c r="W23" s="367" t="s">
        <v>1888</v>
      </c>
      <c r="X23" s="367" t="s">
        <v>1886</v>
      </c>
      <c r="Y23" s="367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>
      <c r="A24" s="367">
        <v>3</v>
      </c>
      <c r="B24" s="367" t="s">
        <v>1810</v>
      </c>
      <c r="C24" s="16" t="s">
        <v>1946</v>
      </c>
      <c r="D24" s="1" t="s">
        <v>1939</v>
      </c>
      <c r="E24" s="1" t="s">
        <v>1939</v>
      </c>
      <c r="F24" s="297">
        <v>0.186</v>
      </c>
      <c r="G24" s="297">
        <v>121.97</v>
      </c>
      <c r="H24" s="391">
        <f t="shared" si="0"/>
        <v>1.35</v>
      </c>
      <c r="I24" s="391">
        <f t="shared" si="1"/>
        <v>1.49</v>
      </c>
      <c r="J24" s="391">
        <f t="shared" si="2"/>
        <v>1.84</v>
      </c>
      <c r="K24" s="391">
        <f t="shared" si="3"/>
        <v>3.19</v>
      </c>
      <c r="O24" s="367">
        <v>3</v>
      </c>
      <c r="P24" t="s">
        <v>999</v>
      </c>
      <c r="Q24" s="5">
        <v>5.6</v>
      </c>
      <c r="S24" s="1">
        <v>3</v>
      </c>
      <c r="T24" s="367" t="s">
        <v>1883</v>
      </c>
      <c r="U24" s="1" t="s">
        <v>1889</v>
      </c>
      <c r="V24" s="16" t="s">
        <v>1883</v>
      </c>
      <c r="W24" s="367" t="s">
        <v>1890</v>
      </c>
      <c r="X24" s="367" t="s">
        <v>1886</v>
      </c>
      <c r="Y24" s="367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>
      <c r="A25" s="367">
        <v>4</v>
      </c>
      <c r="B25" s="367" t="s">
        <v>1810</v>
      </c>
      <c r="C25" s="367" t="s">
        <v>1933</v>
      </c>
      <c r="D25" s="1" t="s">
        <v>1939</v>
      </c>
      <c r="E25" s="1" t="s">
        <v>1939</v>
      </c>
      <c r="F25" s="297">
        <v>0.20200000000000001</v>
      </c>
      <c r="G25" s="297">
        <v>141.24</v>
      </c>
      <c r="H25" s="391">
        <f t="shared" si="0"/>
        <v>1.46</v>
      </c>
      <c r="I25" s="391">
        <f t="shared" si="1"/>
        <v>1.62</v>
      </c>
      <c r="J25" s="391">
        <f t="shared" si="2"/>
        <v>2.04</v>
      </c>
      <c r="K25" s="391">
        <f t="shared" si="3"/>
        <v>3.61</v>
      </c>
      <c r="O25" s="367">
        <v>4</v>
      </c>
      <c r="P25" t="s">
        <v>979</v>
      </c>
      <c r="Q25" s="5">
        <v>1.8</v>
      </c>
      <c r="S25" s="1">
        <v>4</v>
      </c>
      <c r="T25" s="367" t="s">
        <v>1883</v>
      </c>
      <c r="U25" s="1" t="s">
        <v>1891</v>
      </c>
      <c r="V25" s="16" t="s">
        <v>1883</v>
      </c>
      <c r="W25" s="367" t="s">
        <v>1892</v>
      </c>
      <c r="X25" s="367" t="s">
        <v>1886</v>
      </c>
      <c r="Y25" s="367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>
      <c r="A26" s="367">
        <v>5</v>
      </c>
      <c r="B26" s="367" t="s">
        <v>1810</v>
      </c>
      <c r="C26" s="367" t="s">
        <v>1987</v>
      </c>
      <c r="D26" s="1" t="s">
        <v>1992</v>
      </c>
      <c r="E26" s="1" t="s">
        <v>1992</v>
      </c>
      <c r="F26" s="297">
        <v>0.19400000000000001</v>
      </c>
      <c r="G26" s="297">
        <v>144.18</v>
      </c>
      <c r="H26" s="391">
        <f t="shared" si="0"/>
        <v>1.41</v>
      </c>
      <c r="I26" s="391">
        <f t="shared" si="1"/>
        <v>1.56</v>
      </c>
      <c r="J26" s="391">
        <f t="shared" si="2"/>
        <v>2</v>
      </c>
      <c r="K26" s="391">
        <f t="shared" si="3"/>
        <v>3.6</v>
      </c>
      <c r="O26" s="367">
        <v>5</v>
      </c>
      <c r="P26" t="s">
        <v>993</v>
      </c>
      <c r="Q26" s="5">
        <v>6.1</v>
      </c>
      <c r="S26" s="1">
        <v>5</v>
      </c>
      <c r="T26" s="367" t="s">
        <v>1883</v>
      </c>
      <c r="U26" s="1" t="s">
        <v>1893</v>
      </c>
      <c r="V26" s="16" t="s">
        <v>1883</v>
      </c>
      <c r="W26" s="367" t="s">
        <v>1894</v>
      </c>
      <c r="X26" s="367" t="s">
        <v>1886</v>
      </c>
      <c r="Y26" s="367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>
      <c r="A27" s="367">
        <v>6</v>
      </c>
      <c r="B27" s="367" t="s">
        <v>1810</v>
      </c>
      <c r="C27" s="367" t="s">
        <v>1922</v>
      </c>
      <c r="D27" s="1" t="s">
        <v>114</v>
      </c>
      <c r="E27" s="1" t="s">
        <v>114</v>
      </c>
      <c r="F27" s="297">
        <v>0.19600000000000001</v>
      </c>
      <c r="G27" s="297">
        <v>150.05000000000001</v>
      </c>
      <c r="H27" s="391">
        <f t="shared" si="0"/>
        <v>1.42</v>
      </c>
      <c r="I27" s="391">
        <f t="shared" si="1"/>
        <v>1.58</v>
      </c>
      <c r="J27" s="391">
        <f t="shared" si="2"/>
        <v>2.04</v>
      </c>
      <c r="K27" s="391">
        <f t="shared" si="3"/>
        <v>3.7</v>
      </c>
      <c r="O27" s="367">
        <v>6</v>
      </c>
      <c r="P27" t="s">
        <v>1031</v>
      </c>
      <c r="Q27" s="5">
        <v>2.9</v>
      </c>
      <c r="S27" s="1">
        <v>6</v>
      </c>
      <c r="T27" s="367" t="s">
        <v>1883</v>
      </c>
      <c r="U27" s="1" t="s">
        <v>1895</v>
      </c>
      <c r="V27" s="16" t="s">
        <v>1883</v>
      </c>
      <c r="W27" s="367" t="s">
        <v>1896</v>
      </c>
      <c r="X27" s="367" t="s">
        <v>1886</v>
      </c>
      <c r="Y27" s="367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>
      <c r="A28" s="367">
        <v>7</v>
      </c>
      <c r="B28" s="367" t="s">
        <v>1810</v>
      </c>
      <c r="C28" s="367" t="s">
        <v>1960</v>
      </c>
      <c r="D28" s="1" t="s">
        <v>1961</v>
      </c>
      <c r="E28" s="1" t="s">
        <v>1961</v>
      </c>
      <c r="F28" s="297">
        <v>0.36299999999999999</v>
      </c>
      <c r="G28" s="297">
        <v>152.4</v>
      </c>
      <c r="H28" s="391">
        <f t="shared" si="0"/>
        <v>2.63</v>
      </c>
      <c r="I28" s="391">
        <f t="shared" si="1"/>
        <v>2.92</v>
      </c>
      <c r="J28" s="391">
        <f t="shared" si="2"/>
        <v>3.2</v>
      </c>
      <c r="K28" s="391">
        <f t="shared" si="3"/>
        <v>4.8899999999999997</v>
      </c>
      <c r="O28" s="367">
        <v>7</v>
      </c>
      <c r="P28" t="s">
        <v>1333</v>
      </c>
      <c r="Q28" s="5">
        <v>4.25</v>
      </c>
      <c r="S28" s="1">
        <v>7</v>
      </c>
      <c r="T28" s="367" t="s">
        <v>1883</v>
      </c>
      <c r="U28" s="1" t="s">
        <v>1897</v>
      </c>
      <c r="V28" s="16" t="s">
        <v>1883</v>
      </c>
      <c r="W28" s="367" t="s">
        <v>1898</v>
      </c>
      <c r="X28" s="367" t="s">
        <v>1886</v>
      </c>
      <c r="Y28" s="367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>
      <c r="A29" s="367">
        <v>8</v>
      </c>
      <c r="B29" s="367" t="s">
        <v>1810</v>
      </c>
      <c r="C29" s="367" t="s">
        <v>1941</v>
      </c>
      <c r="D29" s="1" t="s">
        <v>1939</v>
      </c>
      <c r="E29" s="1" t="s">
        <v>1939</v>
      </c>
      <c r="F29" s="297">
        <v>0.28100000000000003</v>
      </c>
      <c r="G29" s="297">
        <v>166.19</v>
      </c>
      <c r="H29" s="391">
        <f t="shared" si="0"/>
        <v>2.04</v>
      </c>
      <c r="I29" s="391">
        <f t="shared" si="1"/>
        <v>2.2599999999999998</v>
      </c>
      <c r="J29" s="391">
        <f t="shared" si="2"/>
        <v>2.7</v>
      </c>
      <c r="K29" s="391">
        <f t="shared" si="3"/>
        <v>4.54</v>
      </c>
      <c r="O29" s="367">
        <v>8</v>
      </c>
      <c r="P29" t="s">
        <v>985</v>
      </c>
      <c r="Q29" s="5">
        <v>4.25</v>
      </c>
      <c r="S29" s="1">
        <v>8</v>
      </c>
      <c r="T29" s="367" t="s">
        <v>1869</v>
      </c>
      <c r="U29" s="1">
        <v>2566</v>
      </c>
      <c r="V29" s="16" t="s">
        <v>1877</v>
      </c>
      <c r="W29" s="16" t="s">
        <v>2078</v>
      </c>
      <c r="X29" s="367" t="s">
        <v>1876</v>
      </c>
      <c r="Y29" s="367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>
      <c r="A30" s="367">
        <v>9</v>
      </c>
      <c r="B30" s="367" t="s">
        <v>1810</v>
      </c>
      <c r="C30" s="367" t="s">
        <v>1959</v>
      </c>
      <c r="D30" s="1" t="s">
        <v>1961</v>
      </c>
      <c r="E30" s="1" t="s">
        <v>1961</v>
      </c>
      <c r="F30" s="297">
        <v>0.48699999999999999</v>
      </c>
      <c r="G30" s="297">
        <v>203.2</v>
      </c>
      <c r="H30" s="391">
        <f t="shared" si="0"/>
        <v>3.53</v>
      </c>
      <c r="I30" s="391">
        <f t="shared" si="1"/>
        <v>3.91</v>
      </c>
      <c r="J30" s="391">
        <f t="shared" si="2"/>
        <v>4.29</v>
      </c>
      <c r="K30" s="391">
        <f t="shared" si="3"/>
        <v>6.54</v>
      </c>
      <c r="O30" s="367">
        <v>9</v>
      </c>
      <c r="P30" t="s">
        <v>1029</v>
      </c>
      <c r="Q30" s="5">
        <v>2.5</v>
      </c>
      <c r="S30" s="1">
        <v>9</v>
      </c>
      <c r="T30" s="367" t="s">
        <v>1869</v>
      </c>
      <c r="U30" s="1">
        <v>2152</v>
      </c>
      <c r="V30" s="16">
        <v>2152</v>
      </c>
      <c r="W30" s="367" t="s">
        <v>1899</v>
      </c>
      <c r="X30" s="367" t="s">
        <v>1876</v>
      </c>
      <c r="Y30" s="367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>
      <c r="A31" s="367">
        <v>10</v>
      </c>
      <c r="B31" s="367" t="s">
        <v>1810</v>
      </c>
      <c r="C31" s="367" t="s">
        <v>1919</v>
      </c>
      <c r="D31" s="1" t="s">
        <v>1811</v>
      </c>
      <c r="E31" s="1" t="s">
        <v>1811</v>
      </c>
      <c r="F31" s="297">
        <v>0.32800000000000001</v>
      </c>
      <c r="G31" s="297">
        <v>231.88</v>
      </c>
      <c r="H31" s="391">
        <f t="shared" si="0"/>
        <v>2.38</v>
      </c>
      <c r="I31" s="391">
        <f t="shared" si="1"/>
        <v>2.64</v>
      </c>
      <c r="J31" s="391">
        <f t="shared" si="2"/>
        <v>3.33</v>
      </c>
      <c r="K31" s="391">
        <f t="shared" si="3"/>
        <v>5.9</v>
      </c>
      <c r="O31" s="367">
        <v>10</v>
      </c>
      <c r="P31" t="s">
        <v>1000</v>
      </c>
      <c r="Q31" s="5">
        <v>6.6</v>
      </c>
      <c r="S31" s="1">
        <v>10</v>
      </c>
      <c r="T31" s="367" t="s">
        <v>1869</v>
      </c>
      <c r="U31" s="1">
        <v>6154</v>
      </c>
      <c r="V31" s="16" t="s">
        <v>1878</v>
      </c>
      <c r="W31" s="367" t="s">
        <v>1871</v>
      </c>
      <c r="X31" s="367" t="s">
        <v>1876</v>
      </c>
      <c r="Y31" s="367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>
      <c r="A32" s="367">
        <v>11</v>
      </c>
      <c r="B32" s="367" t="s">
        <v>1810</v>
      </c>
      <c r="C32" s="367" t="s">
        <v>1947</v>
      </c>
      <c r="D32" s="1" t="s">
        <v>1939</v>
      </c>
      <c r="E32" s="1" t="s">
        <v>1939</v>
      </c>
      <c r="F32" s="297">
        <v>0.69499999999999995</v>
      </c>
      <c r="G32" s="297">
        <v>236.92</v>
      </c>
      <c r="H32" s="391">
        <f t="shared" si="0"/>
        <v>5.04</v>
      </c>
      <c r="I32" s="391">
        <f t="shared" si="1"/>
        <v>5.59</v>
      </c>
      <c r="J32" s="391">
        <f t="shared" si="2"/>
        <v>5.87</v>
      </c>
      <c r="K32" s="391">
        <f t="shared" si="3"/>
        <v>8.5</v>
      </c>
      <c r="O32" s="367">
        <v>11</v>
      </c>
      <c r="P32" t="s">
        <v>990</v>
      </c>
      <c r="Q32" s="5">
        <v>5.4</v>
      </c>
      <c r="S32" s="1">
        <v>11</v>
      </c>
      <c r="T32" s="367" t="s">
        <v>1869</v>
      </c>
      <c r="U32" s="1" t="s">
        <v>1900</v>
      </c>
      <c r="V32" s="16" t="s">
        <v>1878</v>
      </c>
      <c r="W32" s="367" t="s">
        <v>1901</v>
      </c>
      <c r="X32" s="367" t="s">
        <v>1902</v>
      </c>
      <c r="Y32" s="367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>
      <c r="A33" s="367">
        <v>12</v>
      </c>
      <c r="B33" s="367" t="s">
        <v>1810</v>
      </c>
      <c r="C33" s="367" t="s">
        <v>1920</v>
      </c>
      <c r="D33" s="1" t="s">
        <v>1843</v>
      </c>
      <c r="E33" s="1" t="s">
        <v>1843</v>
      </c>
      <c r="F33" s="297">
        <v>0.502</v>
      </c>
      <c r="G33" s="297">
        <v>249.38</v>
      </c>
      <c r="H33" s="391">
        <f t="shared" si="0"/>
        <v>3.64</v>
      </c>
      <c r="I33" s="391">
        <f t="shared" si="1"/>
        <v>4.03</v>
      </c>
      <c r="J33" s="391">
        <f t="shared" si="2"/>
        <v>4.6100000000000003</v>
      </c>
      <c r="K33" s="391">
        <f t="shared" si="3"/>
        <v>7.37</v>
      </c>
      <c r="O33" s="367">
        <v>12</v>
      </c>
      <c r="P33" t="s">
        <v>1017</v>
      </c>
      <c r="Q33" s="5">
        <v>4.4000000000000004</v>
      </c>
      <c r="S33" s="1">
        <v>12</v>
      </c>
      <c r="T33" s="367" t="s">
        <v>1869</v>
      </c>
      <c r="U33" s="1">
        <v>3320</v>
      </c>
      <c r="V33" s="16" t="s">
        <v>1903</v>
      </c>
      <c r="W33" s="367" t="s">
        <v>1881</v>
      </c>
      <c r="X33" s="367" t="s">
        <v>1876</v>
      </c>
      <c r="Y33" s="367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>
      <c r="A34" s="367">
        <v>13</v>
      </c>
      <c r="B34" s="367" t="s">
        <v>1810</v>
      </c>
      <c r="C34" s="367" t="s">
        <v>1948</v>
      </c>
      <c r="D34" s="1" t="s">
        <v>1939</v>
      </c>
      <c r="E34" s="1" t="s">
        <v>1939</v>
      </c>
      <c r="F34" s="297">
        <v>0.77900000000000003</v>
      </c>
      <c r="G34" s="297">
        <v>265.33</v>
      </c>
      <c r="H34" s="391">
        <f t="shared" si="0"/>
        <v>5.65</v>
      </c>
      <c r="I34" s="391">
        <f t="shared" si="1"/>
        <v>6.26</v>
      </c>
      <c r="J34" s="391">
        <f t="shared" si="2"/>
        <v>6.58</v>
      </c>
      <c r="K34" s="391">
        <f t="shared" si="3"/>
        <v>9.52</v>
      </c>
      <c r="O34" s="367">
        <v>13</v>
      </c>
      <c r="P34" t="s">
        <v>980</v>
      </c>
      <c r="Q34" s="5">
        <v>2.0499999999999998</v>
      </c>
      <c r="S34" s="1">
        <v>13</v>
      </c>
      <c r="T34" s="367" t="s">
        <v>1869</v>
      </c>
      <c r="U34" s="1">
        <v>1058</v>
      </c>
      <c r="V34" s="16" t="s">
        <v>1904</v>
      </c>
      <c r="W34" s="367" t="s">
        <v>1882</v>
      </c>
      <c r="X34" s="367" t="s">
        <v>1876</v>
      </c>
      <c r="Y34" s="367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>
      <c r="A35" s="367">
        <v>14</v>
      </c>
      <c r="B35" s="367" t="s">
        <v>1810</v>
      </c>
      <c r="C35" s="367" t="s">
        <v>1921</v>
      </c>
      <c r="D35" s="1" t="s">
        <v>1844</v>
      </c>
      <c r="E35" s="1" t="s">
        <v>1844</v>
      </c>
      <c r="F35" s="297">
        <v>0.52500000000000002</v>
      </c>
      <c r="G35" s="297">
        <v>266.07</v>
      </c>
      <c r="H35" s="391">
        <f t="shared" si="0"/>
        <v>3.81</v>
      </c>
      <c r="I35" s="391">
        <f t="shared" si="1"/>
        <v>4.22</v>
      </c>
      <c r="J35" s="391">
        <f t="shared" si="2"/>
        <v>4.84</v>
      </c>
      <c r="K35" s="391">
        <f t="shared" si="3"/>
        <v>7.79</v>
      </c>
      <c r="O35" s="367">
        <v>14</v>
      </c>
      <c r="P35" t="s">
        <v>1347</v>
      </c>
      <c r="Q35" s="5">
        <v>10</v>
      </c>
      <c r="S35" s="1">
        <v>14</v>
      </c>
      <c r="T35" s="367" t="s">
        <v>1869</v>
      </c>
      <c r="U35" s="1" t="s">
        <v>1905</v>
      </c>
      <c r="V35" s="16" t="s">
        <v>1906</v>
      </c>
      <c r="W35" s="367" t="s">
        <v>1907</v>
      </c>
      <c r="X35" s="367" t="s">
        <v>1908</v>
      </c>
      <c r="Y35" s="367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>
      <c r="A36" s="367">
        <v>15</v>
      </c>
      <c r="B36" s="367" t="s">
        <v>1810</v>
      </c>
      <c r="C36" s="367" t="s">
        <v>1934</v>
      </c>
      <c r="D36" s="1" t="s">
        <v>1939</v>
      </c>
      <c r="E36" s="1" t="s">
        <v>1939</v>
      </c>
      <c r="F36" s="297">
        <v>0.874</v>
      </c>
      <c r="G36" s="297">
        <v>279.69</v>
      </c>
      <c r="H36" s="391">
        <f t="shared" si="0"/>
        <v>6.34</v>
      </c>
      <c r="I36" s="391">
        <f t="shared" si="1"/>
        <v>7.02</v>
      </c>
      <c r="J36" s="391">
        <f t="shared" si="2"/>
        <v>7.3</v>
      </c>
      <c r="K36" s="391">
        <f t="shared" si="3"/>
        <v>10.4</v>
      </c>
      <c r="O36" s="367">
        <v>15</v>
      </c>
      <c r="P36" t="s">
        <v>1348</v>
      </c>
      <c r="Q36" s="5">
        <v>12</v>
      </c>
      <c r="S36" s="1">
        <v>15</v>
      </c>
      <c r="T36" s="367" t="s">
        <v>1869</v>
      </c>
      <c r="U36" s="1" t="s">
        <v>1909</v>
      </c>
      <c r="V36" s="16" t="s">
        <v>1906</v>
      </c>
      <c r="W36" s="367" t="s">
        <v>1910</v>
      </c>
      <c r="X36" s="367" t="s">
        <v>1908</v>
      </c>
      <c r="Y36" s="367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>
      <c r="A37" s="367">
        <v>16</v>
      </c>
      <c r="B37" s="367" t="s">
        <v>1810</v>
      </c>
      <c r="C37" s="367" t="s">
        <v>1945</v>
      </c>
      <c r="D37" s="1" t="s">
        <v>1939</v>
      </c>
      <c r="E37" s="1" t="s">
        <v>1939</v>
      </c>
      <c r="F37" s="297">
        <v>0.45400000000000001</v>
      </c>
      <c r="G37" s="297">
        <v>289.99</v>
      </c>
      <c r="H37" s="391">
        <f t="shared" si="0"/>
        <v>3.29</v>
      </c>
      <c r="I37" s="391">
        <f t="shared" si="1"/>
        <v>3.65</v>
      </c>
      <c r="J37" s="391">
        <f t="shared" si="2"/>
        <v>4.46</v>
      </c>
      <c r="K37" s="391">
        <f t="shared" si="3"/>
        <v>7.68</v>
      </c>
      <c r="O37" s="367">
        <v>16</v>
      </c>
      <c r="P37" t="s">
        <v>988</v>
      </c>
      <c r="Q37" s="5">
        <v>2.9</v>
      </c>
      <c r="S37" s="1">
        <v>16</v>
      </c>
      <c r="T37" s="367" t="s">
        <v>1869</v>
      </c>
      <c r="U37" s="1" t="s">
        <v>1911</v>
      </c>
      <c r="W37" s="367" t="s">
        <v>1912</v>
      </c>
      <c r="X37" s="367" t="s">
        <v>1876</v>
      </c>
      <c r="Y37" s="367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>
      <c r="A38" s="367">
        <v>17</v>
      </c>
      <c r="B38" s="367" t="s">
        <v>1810</v>
      </c>
      <c r="C38" s="367" t="s">
        <v>1935</v>
      </c>
      <c r="D38" s="1" t="s">
        <v>1939</v>
      </c>
      <c r="E38" s="1" t="s">
        <v>1939</v>
      </c>
      <c r="F38" s="297">
        <v>0.98</v>
      </c>
      <c r="G38" s="297">
        <v>318.08</v>
      </c>
      <c r="H38" s="391">
        <f t="shared" si="0"/>
        <v>7.11</v>
      </c>
      <c r="I38" s="391">
        <f t="shared" si="1"/>
        <v>7.88</v>
      </c>
      <c r="J38" s="391">
        <f t="shared" si="2"/>
        <v>8.2100000000000009</v>
      </c>
      <c r="K38" s="391">
        <f t="shared" si="3"/>
        <v>11.73</v>
      </c>
      <c r="O38" s="367">
        <v>17</v>
      </c>
      <c r="P38" t="s">
        <v>1024</v>
      </c>
      <c r="Q38" s="5">
        <v>4.5999999999999996</v>
      </c>
      <c r="S38" s="1">
        <v>17</v>
      </c>
      <c r="T38" s="367" t="s">
        <v>1869</v>
      </c>
      <c r="U38" s="1" t="s">
        <v>1879</v>
      </c>
      <c r="V38" s="16" t="s">
        <v>1913</v>
      </c>
      <c r="W38" s="367" t="s">
        <v>1880</v>
      </c>
      <c r="X38" s="367" t="s">
        <v>1876</v>
      </c>
      <c r="Y38" s="367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>
      <c r="A39" s="367">
        <v>18</v>
      </c>
      <c r="B39" s="367" t="s">
        <v>1810</v>
      </c>
      <c r="C39" s="367" t="s">
        <v>1942</v>
      </c>
      <c r="D39" s="1" t="s">
        <v>1939</v>
      </c>
      <c r="E39" s="1" t="s">
        <v>1939</v>
      </c>
      <c r="F39" s="297">
        <v>1.113</v>
      </c>
      <c r="G39" s="297">
        <v>330.49</v>
      </c>
      <c r="H39" s="391">
        <f t="shared" si="0"/>
        <v>8.07</v>
      </c>
      <c r="I39" s="391">
        <f t="shared" si="1"/>
        <v>8.9499999999999993</v>
      </c>
      <c r="J39" s="391">
        <f t="shared" si="2"/>
        <v>9.18</v>
      </c>
      <c r="K39" s="391">
        <f t="shared" si="3"/>
        <v>12.84</v>
      </c>
      <c r="O39" s="367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>
      <c r="A40" s="367">
        <v>19</v>
      </c>
      <c r="B40" s="367" t="s">
        <v>1810</v>
      </c>
      <c r="C40" s="367" t="s">
        <v>1949</v>
      </c>
      <c r="D40" s="1" t="s">
        <v>1939</v>
      </c>
      <c r="E40" s="1" t="s">
        <v>1939</v>
      </c>
      <c r="F40" s="297">
        <v>0.51700000000000002</v>
      </c>
      <c r="G40" s="297">
        <v>333.56</v>
      </c>
      <c r="H40" s="391">
        <f t="shared" si="0"/>
        <v>3.75</v>
      </c>
      <c r="I40" s="391">
        <f t="shared" si="1"/>
        <v>4.16</v>
      </c>
      <c r="J40" s="391">
        <f t="shared" si="2"/>
        <v>5.0999999999999996</v>
      </c>
      <c r="K40" s="391">
        <f t="shared" si="3"/>
        <v>8.7899999999999991</v>
      </c>
      <c r="O40" s="367">
        <v>19</v>
      </c>
      <c r="P40" t="s">
        <v>994</v>
      </c>
      <c r="Q40" s="5">
        <v>7.7</v>
      </c>
      <c r="S40" s="1">
        <v>19</v>
      </c>
      <c r="T40" s="1" t="s">
        <v>1872</v>
      </c>
      <c r="U40" s="1" t="s">
        <v>1873</v>
      </c>
      <c r="V40" s="16" t="s">
        <v>1873</v>
      </c>
      <c r="W40" s="1" t="s">
        <v>1873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>
      <c r="A41" s="367">
        <v>20</v>
      </c>
      <c r="B41" s="367" t="s">
        <v>1810</v>
      </c>
      <c r="C41" s="367" t="s">
        <v>1986</v>
      </c>
      <c r="D41" s="1" t="s">
        <v>1993</v>
      </c>
      <c r="E41" s="1" t="s">
        <v>1993</v>
      </c>
      <c r="F41" s="297">
        <v>0.48199999999999998</v>
      </c>
      <c r="G41" s="297">
        <v>342</v>
      </c>
      <c r="H41" s="391">
        <f t="shared" si="0"/>
        <v>3.5</v>
      </c>
      <c r="I41" s="391">
        <f t="shared" si="1"/>
        <v>3.87</v>
      </c>
      <c r="J41" s="391">
        <f t="shared" si="2"/>
        <v>4.9000000000000004</v>
      </c>
      <c r="K41" s="391">
        <f t="shared" si="3"/>
        <v>8.69</v>
      </c>
      <c r="O41" s="367">
        <v>20</v>
      </c>
      <c r="P41" t="s">
        <v>1003</v>
      </c>
      <c r="Q41" s="5">
        <v>2.9</v>
      </c>
      <c r="S41" s="1">
        <v>20</v>
      </c>
      <c r="T41" s="1" t="s">
        <v>1872</v>
      </c>
      <c r="U41" s="1" t="s">
        <v>1874</v>
      </c>
      <c r="V41" s="16" t="s">
        <v>1874</v>
      </c>
      <c r="W41" s="1" t="s">
        <v>1875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>
      <c r="A42" s="367">
        <v>21</v>
      </c>
      <c r="B42" s="367" t="s">
        <v>1810</v>
      </c>
      <c r="C42" s="367" t="s">
        <v>1936</v>
      </c>
      <c r="D42" s="1" t="s">
        <v>1939</v>
      </c>
      <c r="E42" s="1" t="s">
        <v>1939</v>
      </c>
      <c r="F42" s="297">
        <v>1.35</v>
      </c>
      <c r="G42" s="297">
        <v>343.85</v>
      </c>
      <c r="H42" s="391">
        <f t="shared" si="0"/>
        <v>9.7899999999999991</v>
      </c>
      <c r="I42" s="391">
        <f t="shared" si="1"/>
        <v>10.85</v>
      </c>
      <c r="J42" s="391">
        <f t="shared" si="2"/>
        <v>10.87</v>
      </c>
      <c r="K42" s="391">
        <f t="shared" si="3"/>
        <v>14.68</v>
      </c>
      <c r="O42" s="367">
        <v>21</v>
      </c>
      <c r="P42" t="s">
        <v>1032</v>
      </c>
      <c r="Q42" s="5">
        <v>3.7</v>
      </c>
      <c r="S42" s="1">
        <v>21</v>
      </c>
      <c r="T42" s="367" t="s">
        <v>1914</v>
      </c>
      <c r="U42" s="1" t="s">
        <v>1915</v>
      </c>
      <c r="V42" s="16" t="s">
        <v>1916</v>
      </c>
      <c r="W42" s="367" t="s">
        <v>1917</v>
      </c>
      <c r="X42" s="367" t="s">
        <v>1918</v>
      </c>
      <c r="Y42" s="367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>
      <c r="A43" s="367">
        <v>22</v>
      </c>
      <c r="B43" s="367" t="s">
        <v>1810</v>
      </c>
      <c r="C43" s="367" t="s">
        <v>1943</v>
      </c>
      <c r="D43" s="1" t="s">
        <v>1939</v>
      </c>
      <c r="E43" s="1" t="s">
        <v>1939</v>
      </c>
      <c r="F43" s="297">
        <v>1.2250000000000001</v>
      </c>
      <c r="G43" s="297">
        <v>368.88</v>
      </c>
      <c r="H43" s="391">
        <f t="shared" si="0"/>
        <v>8.8800000000000008</v>
      </c>
      <c r="I43" s="391">
        <f t="shared" si="1"/>
        <v>9.85</v>
      </c>
      <c r="J43" s="391">
        <f t="shared" si="2"/>
        <v>10.130000000000001</v>
      </c>
      <c r="K43" s="391">
        <f t="shared" si="3"/>
        <v>14.21</v>
      </c>
      <c r="O43" s="367">
        <v>22</v>
      </c>
      <c r="P43" t="s">
        <v>1020</v>
      </c>
      <c r="Q43" s="5">
        <v>9</v>
      </c>
      <c r="S43" s="1">
        <v>22</v>
      </c>
      <c r="T43" s="367" t="s">
        <v>1970</v>
      </c>
      <c r="U43" s="1" t="s">
        <v>1971</v>
      </c>
      <c r="V43" s="16" t="s">
        <v>1970</v>
      </c>
      <c r="W43" s="367" t="s">
        <v>1972</v>
      </c>
      <c r="X43" s="367" t="s">
        <v>1973</v>
      </c>
      <c r="Y43" s="367">
        <f>24*300</f>
        <v>7200</v>
      </c>
      <c r="Z43" s="1">
        <v>146.4</v>
      </c>
      <c r="AA43" s="1" t="s">
        <v>1983</v>
      </c>
      <c r="AC43" s="26">
        <f t="shared" si="4"/>
        <v>2.0333333333333335E-2</v>
      </c>
    </row>
    <row r="44" spans="1:29">
      <c r="A44" s="367">
        <v>23</v>
      </c>
      <c r="B44" s="367" t="s">
        <v>1810</v>
      </c>
      <c r="C44" s="367" t="s">
        <v>1938</v>
      </c>
      <c r="D44" s="1" t="s">
        <v>1939</v>
      </c>
      <c r="E44" s="1" t="s">
        <v>1939</v>
      </c>
      <c r="F44" s="297">
        <v>1.508</v>
      </c>
      <c r="G44" s="297">
        <v>381.58</v>
      </c>
      <c r="H44" s="391">
        <f t="shared" si="0"/>
        <v>10.94</v>
      </c>
      <c r="I44" s="391">
        <f t="shared" si="1"/>
        <v>12.12</v>
      </c>
      <c r="J44" s="391">
        <f t="shared" si="2"/>
        <v>12.13</v>
      </c>
      <c r="K44" s="391">
        <f t="shared" si="3"/>
        <v>16.350000000000001</v>
      </c>
      <c r="O44" s="367">
        <v>23</v>
      </c>
      <c r="P44" t="s">
        <v>1022</v>
      </c>
      <c r="Q44" s="5">
        <v>10.6</v>
      </c>
      <c r="S44" s="1">
        <v>23</v>
      </c>
      <c r="T44" s="1" t="s">
        <v>1970</v>
      </c>
      <c r="U44" s="1" t="s">
        <v>1974</v>
      </c>
      <c r="V44" s="16" t="s">
        <v>1970</v>
      </c>
      <c r="W44" s="1" t="s">
        <v>1975</v>
      </c>
      <c r="X44" s="1" t="s">
        <v>1973</v>
      </c>
      <c r="Y44" s="1">
        <f>24*300</f>
        <v>7200</v>
      </c>
      <c r="Z44" s="26">
        <v>182.4</v>
      </c>
      <c r="AA44" s="1" t="s">
        <v>1983</v>
      </c>
      <c r="AC44" s="26">
        <f t="shared" si="4"/>
        <v>2.5333333333333333E-2</v>
      </c>
    </row>
    <row r="45" spans="1:29">
      <c r="A45" s="367">
        <v>24</v>
      </c>
      <c r="B45" s="367" t="s">
        <v>1810</v>
      </c>
      <c r="C45" s="367" t="s">
        <v>1932</v>
      </c>
      <c r="D45" s="1" t="s">
        <v>1939</v>
      </c>
      <c r="E45" s="1" t="s">
        <v>1939</v>
      </c>
      <c r="F45" s="297">
        <v>0.63600000000000001</v>
      </c>
      <c r="G45" s="297">
        <v>390.57</v>
      </c>
      <c r="H45" s="391">
        <f t="shared" si="0"/>
        <v>4.6100000000000003</v>
      </c>
      <c r="I45" s="391">
        <f t="shared" si="1"/>
        <v>5.1100000000000003</v>
      </c>
      <c r="J45" s="391">
        <f t="shared" si="2"/>
        <v>6.18</v>
      </c>
      <c r="K45" s="391">
        <f t="shared" si="3"/>
        <v>10.51</v>
      </c>
      <c r="O45" s="367">
        <v>24</v>
      </c>
      <c r="P45" t="s">
        <v>1334</v>
      </c>
      <c r="Q45" s="5">
        <v>4.75</v>
      </c>
      <c r="S45" s="1">
        <v>24</v>
      </c>
      <c r="T45" s="1" t="s">
        <v>1970</v>
      </c>
      <c r="U45" s="1" t="s">
        <v>1976</v>
      </c>
      <c r="V45" s="16" t="s">
        <v>1970</v>
      </c>
      <c r="W45" s="1" t="s">
        <v>1977</v>
      </c>
      <c r="X45" s="1" t="s">
        <v>1973</v>
      </c>
      <c r="Y45" s="1">
        <f>24*300</f>
        <v>7200</v>
      </c>
      <c r="Z45" s="26">
        <v>177.6</v>
      </c>
      <c r="AA45" s="1" t="s">
        <v>1983</v>
      </c>
      <c r="AB45" s="26"/>
      <c r="AC45" s="26">
        <f t="shared" si="4"/>
        <v>2.4666666666666667E-2</v>
      </c>
    </row>
    <row r="46" spans="1:29">
      <c r="A46" s="367">
        <v>25</v>
      </c>
      <c r="B46" s="367" t="s">
        <v>1810</v>
      </c>
      <c r="C46" s="367" t="s">
        <v>1937</v>
      </c>
      <c r="D46" s="1" t="s">
        <v>1939</v>
      </c>
      <c r="E46" s="1" t="s">
        <v>1939</v>
      </c>
      <c r="F46" s="297">
        <v>0.71399999999999997</v>
      </c>
      <c r="G46" s="297">
        <v>439.29</v>
      </c>
      <c r="H46" s="391">
        <f t="shared" si="0"/>
        <v>5.18</v>
      </c>
      <c r="I46" s="391">
        <f t="shared" si="1"/>
        <v>5.74</v>
      </c>
      <c r="J46" s="391">
        <f t="shared" si="2"/>
        <v>6.94</v>
      </c>
      <c r="K46" s="391">
        <f t="shared" si="3"/>
        <v>11.81</v>
      </c>
      <c r="O46" s="367">
        <v>25</v>
      </c>
      <c r="P46" t="s">
        <v>1006</v>
      </c>
      <c r="Q46" s="5">
        <v>8</v>
      </c>
      <c r="S46" s="1">
        <v>25</v>
      </c>
      <c r="T46" s="1" t="s">
        <v>1970</v>
      </c>
      <c r="U46" s="1" t="s">
        <v>1978</v>
      </c>
      <c r="V46" s="16" t="s">
        <v>1970</v>
      </c>
      <c r="W46" s="1" t="s">
        <v>1979</v>
      </c>
      <c r="X46" s="1" t="s">
        <v>1973</v>
      </c>
      <c r="Y46" s="1">
        <f>24*300</f>
        <v>7200</v>
      </c>
      <c r="Z46" s="26">
        <v>103.2</v>
      </c>
      <c r="AA46" s="1" t="s">
        <v>1983</v>
      </c>
      <c r="AB46" s="26"/>
      <c r="AC46" s="26">
        <f t="shared" si="4"/>
        <v>1.4333333333333333E-2</v>
      </c>
    </row>
    <row r="47" spans="1:29">
      <c r="A47" s="367">
        <v>26</v>
      </c>
      <c r="B47" s="367" t="s">
        <v>1810</v>
      </c>
      <c r="C47" s="367" t="s">
        <v>1940</v>
      </c>
      <c r="D47" s="1" t="s">
        <v>1939</v>
      </c>
      <c r="E47" s="1" t="s">
        <v>1939</v>
      </c>
      <c r="F47" s="297">
        <v>0.81</v>
      </c>
      <c r="G47" s="297">
        <v>463.91</v>
      </c>
      <c r="H47" s="391">
        <f t="shared" si="0"/>
        <v>5.87</v>
      </c>
      <c r="I47" s="391">
        <f t="shared" si="1"/>
        <v>6.51</v>
      </c>
      <c r="J47" s="391">
        <f t="shared" si="2"/>
        <v>7.72</v>
      </c>
      <c r="K47" s="391">
        <f t="shared" si="3"/>
        <v>12.85</v>
      </c>
      <c r="O47" s="367">
        <v>26</v>
      </c>
      <c r="P47" t="s">
        <v>1008</v>
      </c>
      <c r="Q47" s="5">
        <v>8</v>
      </c>
      <c r="S47" s="1">
        <v>26</v>
      </c>
      <c r="T47" s="367" t="s">
        <v>1970</v>
      </c>
      <c r="U47" s="1" t="s">
        <v>1980</v>
      </c>
      <c r="V47" s="16" t="s">
        <v>1970</v>
      </c>
      <c r="W47" s="367" t="s">
        <v>1981</v>
      </c>
      <c r="X47" s="367" t="s">
        <v>1973</v>
      </c>
      <c r="Y47" s="367">
        <f>24*300</f>
        <v>7200</v>
      </c>
      <c r="Z47" s="1">
        <v>88.8</v>
      </c>
      <c r="AA47" s="1" t="s">
        <v>1983</v>
      </c>
      <c r="AB47" s="26"/>
      <c r="AC47" s="26">
        <f t="shared" si="4"/>
        <v>1.2333333333333333E-2</v>
      </c>
    </row>
    <row r="48" spans="1:29">
      <c r="A48" s="367">
        <v>27</v>
      </c>
      <c r="B48" s="367" t="s">
        <v>1810</v>
      </c>
      <c r="C48" s="367" t="s">
        <v>1944</v>
      </c>
      <c r="D48" s="1" t="s">
        <v>1939</v>
      </c>
      <c r="E48" s="1" t="s">
        <v>1939</v>
      </c>
      <c r="F48" s="297">
        <v>0.89300000000000002</v>
      </c>
      <c r="G48" s="297">
        <v>512.72</v>
      </c>
      <c r="H48" s="391">
        <f t="shared" si="0"/>
        <v>6.48</v>
      </c>
      <c r="I48" s="391">
        <f t="shared" si="1"/>
        <v>7.18</v>
      </c>
      <c r="J48" s="391">
        <f t="shared" si="2"/>
        <v>8.51</v>
      </c>
      <c r="K48" s="391">
        <f t="shared" si="3"/>
        <v>14.19</v>
      </c>
      <c r="O48" s="367">
        <v>27</v>
      </c>
      <c r="P48" t="s">
        <v>1027</v>
      </c>
      <c r="Q48" s="5">
        <v>8</v>
      </c>
      <c r="S48" s="1">
        <v>27</v>
      </c>
      <c r="T48" s="367" t="s">
        <v>336</v>
      </c>
      <c r="U48" s="1" t="s">
        <v>2044</v>
      </c>
      <c r="V48" s="16" t="s">
        <v>336</v>
      </c>
      <c r="W48" s="16" t="s">
        <v>2047</v>
      </c>
      <c r="AA48" s="1" t="s">
        <v>112</v>
      </c>
      <c r="AB48" s="367">
        <v>8</v>
      </c>
      <c r="AC48" s="367">
        <f t="shared" ref="AC48:AC111" si="5">IF($AB48&lt;&gt;"",$AB48,IFERROR(ROUNDUP($Z48/$Y48,1),""))</f>
        <v>8</v>
      </c>
    </row>
    <row r="49" spans="1:29">
      <c r="A49" s="367">
        <v>28</v>
      </c>
      <c r="B49" s="367" t="s">
        <v>1810</v>
      </c>
      <c r="C49" s="16" t="s">
        <v>1966</v>
      </c>
      <c r="D49" s="1" t="s">
        <v>1811</v>
      </c>
      <c r="E49" s="1" t="s">
        <v>1811</v>
      </c>
      <c r="F49" s="297">
        <v>2.6779999999999999</v>
      </c>
      <c r="G49" s="297">
        <v>538.36500000000001</v>
      </c>
      <c r="H49" s="391">
        <f t="shared" si="0"/>
        <v>19.420000000000002</v>
      </c>
      <c r="I49" s="391">
        <f t="shared" si="1"/>
        <v>21.52</v>
      </c>
      <c r="J49" s="391">
        <f t="shared" si="2"/>
        <v>20.89</v>
      </c>
      <c r="K49" s="391">
        <f t="shared" si="3"/>
        <v>26.85</v>
      </c>
      <c r="O49" s="367">
        <v>28</v>
      </c>
      <c r="P49" t="s">
        <v>986</v>
      </c>
      <c r="Q49" s="5">
        <v>4.75</v>
      </c>
      <c r="S49" s="1">
        <v>28</v>
      </c>
      <c r="T49" s="367" t="s">
        <v>336</v>
      </c>
      <c r="U49" s="1" t="s">
        <v>2045</v>
      </c>
      <c r="V49" s="16" t="s">
        <v>336</v>
      </c>
      <c r="W49" s="367" t="s">
        <v>2046</v>
      </c>
      <c r="AA49" s="1" t="s">
        <v>112</v>
      </c>
      <c r="AB49" s="367">
        <v>12</v>
      </c>
      <c r="AC49" s="367">
        <f t="shared" si="5"/>
        <v>12</v>
      </c>
    </row>
    <row r="50" spans="1:29">
      <c r="A50" s="367">
        <v>29</v>
      </c>
      <c r="B50" s="367" t="s">
        <v>1810</v>
      </c>
      <c r="C50" s="367" t="s">
        <v>1988</v>
      </c>
      <c r="D50" s="1" t="s">
        <v>1989</v>
      </c>
      <c r="E50" s="1" t="s">
        <v>1989</v>
      </c>
      <c r="F50" s="297">
        <v>0.15</v>
      </c>
      <c r="G50" s="297">
        <v>122.3</v>
      </c>
      <c r="H50" s="391">
        <f t="shared" si="0"/>
        <v>1.0900000000000001</v>
      </c>
      <c r="I50" s="391">
        <f t="shared" si="1"/>
        <v>1.21</v>
      </c>
      <c r="J50" s="391">
        <f t="shared" si="2"/>
        <v>1.6</v>
      </c>
      <c r="K50" s="391">
        <f t="shared" si="3"/>
        <v>2.95</v>
      </c>
      <c r="O50" s="367">
        <v>29</v>
      </c>
      <c r="P50" t="s">
        <v>1030</v>
      </c>
      <c r="Q50" s="5">
        <v>3</v>
      </c>
      <c r="S50" s="1">
        <v>29</v>
      </c>
      <c r="T50" s="367" t="s">
        <v>122</v>
      </c>
      <c r="U50" s="1" t="s">
        <v>2048</v>
      </c>
      <c r="V50" s="16" t="s">
        <v>2049</v>
      </c>
      <c r="W50" s="16" t="s">
        <v>2049</v>
      </c>
      <c r="AA50" s="1" t="s">
        <v>112</v>
      </c>
      <c r="AB50" s="367">
        <v>0.7</v>
      </c>
      <c r="AC50" s="367">
        <f t="shared" si="5"/>
        <v>0.7</v>
      </c>
    </row>
    <row r="51" spans="1:29">
      <c r="A51" s="367">
        <v>30</v>
      </c>
      <c r="B51" s="367" t="s">
        <v>1810</v>
      </c>
      <c r="C51" s="367" t="s">
        <v>1991</v>
      </c>
      <c r="D51" s="1" t="s">
        <v>1990</v>
      </c>
      <c r="E51" s="1" t="s">
        <v>1990</v>
      </c>
      <c r="F51" s="297">
        <v>0.35299999999999998</v>
      </c>
      <c r="G51" s="297">
        <v>249.9</v>
      </c>
      <c r="H51" s="391">
        <f t="shared" si="0"/>
        <v>2.56</v>
      </c>
      <c r="I51" s="391">
        <f t="shared" si="1"/>
        <v>2.84</v>
      </c>
      <c r="J51" s="391">
        <f t="shared" si="2"/>
        <v>3.58</v>
      </c>
      <c r="K51" s="391">
        <f t="shared" si="3"/>
        <v>6.35</v>
      </c>
      <c r="O51" s="367">
        <v>30</v>
      </c>
      <c r="P51" t="s">
        <v>1015</v>
      </c>
      <c r="Q51" s="5">
        <v>6.5</v>
      </c>
      <c r="S51" s="1">
        <v>30</v>
      </c>
      <c r="T51" s="367" t="s">
        <v>122</v>
      </c>
      <c r="U51" s="1" t="s">
        <v>2051</v>
      </c>
      <c r="V51" s="16" t="s">
        <v>2050</v>
      </c>
      <c r="W51" s="16" t="s">
        <v>2050</v>
      </c>
      <c r="AA51" s="1" t="s">
        <v>112</v>
      </c>
      <c r="AB51" s="367">
        <v>0.7</v>
      </c>
      <c r="AC51" s="367">
        <f t="shared" si="5"/>
        <v>0.7</v>
      </c>
    </row>
    <row r="52" spans="1:29">
      <c r="A52" s="367">
        <v>31</v>
      </c>
      <c r="B52" s="367" t="s">
        <v>1810</v>
      </c>
      <c r="C52" t="s">
        <v>1995</v>
      </c>
      <c r="D52" s="1" t="s">
        <v>1996</v>
      </c>
      <c r="E52" s="1" t="s">
        <v>1996</v>
      </c>
      <c r="F52" s="297">
        <v>0.45300000000000001</v>
      </c>
      <c r="G52" s="297">
        <v>207.81</v>
      </c>
      <c r="H52" s="391">
        <f t="shared" ref="H52:H86" si="6">IF($C52="","",ROUND((($B$2*$F52*($B$5/1000))/$B$6)*(1+IF($B$18="",0,$B$18)),2))</f>
        <v>3.29</v>
      </c>
      <c r="I52" s="391">
        <f t="shared" ref="I52:I86" si="7">IF($C52="","",ROUND((($B$3*$F52*($B$5/1000))/$B$6)*(1+IF($B$18="",0,$B$18)),2))</f>
        <v>3.64</v>
      </c>
      <c r="J52" s="391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4.08</v>
      </c>
      <c r="K52" s="391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6.38</v>
      </c>
      <c r="O52" s="367">
        <v>31</v>
      </c>
      <c r="P52" t="s">
        <v>1013</v>
      </c>
      <c r="Q52" s="5">
        <v>6.5</v>
      </c>
      <c r="S52" s="1">
        <v>31</v>
      </c>
      <c r="T52" s="367" t="s">
        <v>140</v>
      </c>
      <c r="U52" s="1" t="s">
        <v>2052</v>
      </c>
      <c r="V52" s="16" t="s">
        <v>2053</v>
      </c>
      <c r="W52" s="16" t="s">
        <v>2053</v>
      </c>
      <c r="AA52" s="1" t="s">
        <v>112</v>
      </c>
      <c r="AB52" s="367">
        <v>1.5</v>
      </c>
      <c r="AC52" s="367">
        <f t="shared" si="5"/>
        <v>1.5</v>
      </c>
    </row>
    <row r="53" spans="1:29">
      <c r="A53" s="367">
        <v>32</v>
      </c>
      <c r="B53" s="367" t="s">
        <v>1810</v>
      </c>
      <c r="C53" t="s">
        <v>1997</v>
      </c>
      <c r="D53" s="1" t="s">
        <v>1998</v>
      </c>
      <c r="E53" s="1" t="s">
        <v>1998</v>
      </c>
      <c r="F53" s="297">
        <v>0.45900000000000002</v>
      </c>
      <c r="G53" s="297">
        <v>328.54</v>
      </c>
      <c r="H53" s="391">
        <f t="shared" si="6"/>
        <v>3.33</v>
      </c>
      <c r="I53" s="391">
        <f t="shared" si="7"/>
        <v>3.69</v>
      </c>
      <c r="J53" s="391">
        <f t="shared" si="8"/>
        <v>4.68</v>
      </c>
      <c r="K53" s="391">
        <f t="shared" si="9"/>
        <v>8.32</v>
      </c>
      <c r="O53" s="367">
        <v>32</v>
      </c>
      <c r="P53" t="s">
        <v>1001</v>
      </c>
      <c r="Q53" s="5">
        <v>8.1999999999999993</v>
      </c>
      <c r="S53" s="1">
        <v>32</v>
      </c>
      <c r="T53" s="367" t="s">
        <v>336</v>
      </c>
      <c r="U53" s="1" t="s">
        <v>2055</v>
      </c>
      <c r="V53" s="16" t="s">
        <v>336</v>
      </c>
      <c r="W53" s="367" t="s">
        <v>2060</v>
      </c>
      <c r="AA53" s="1" t="s">
        <v>112</v>
      </c>
      <c r="AB53" s="367">
        <v>1.8</v>
      </c>
      <c r="AC53" s="367">
        <f t="shared" si="5"/>
        <v>1.8</v>
      </c>
    </row>
    <row r="54" spans="1:29">
      <c r="A54" s="367">
        <v>33</v>
      </c>
      <c r="B54" s="367" t="s">
        <v>1810</v>
      </c>
      <c r="C54" t="s">
        <v>1999</v>
      </c>
      <c r="D54" s="1" t="s">
        <v>2000</v>
      </c>
      <c r="E54" s="1" t="s">
        <v>2000</v>
      </c>
      <c r="F54" s="297">
        <v>0.28599999999999998</v>
      </c>
      <c r="G54" s="297">
        <v>203.9</v>
      </c>
      <c r="H54" s="391">
        <f t="shared" si="6"/>
        <v>2.0699999999999998</v>
      </c>
      <c r="I54" s="391">
        <f t="shared" si="7"/>
        <v>2.2999999999999998</v>
      </c>
      <c r="J54" s="391">
        <f t="shared" si="8"/>
        <v>2.91</v>
      </c>
      <c r="K54" s="391">
        <f t="shared" si="9"/>
        <v>5.17</v>
      </c>
      <c r="O54" s="367">
        <v>33</v>
      </c>
      <c r="P54" t="s">
        <v>991</v>
      </c>
      <c r="Q54" s="5">
        <v>5.9</v>
      </c>
      <c r="S54" s="1">
        <v>33</v>
      </c>
      <c r="T54" s="367" t="s">
        <v>122</v>
      </c>
      <c r="U54" s="1" t="s">
        <v>2056</v>
      </c>
      <c r="V54" s="16" t="s">
        <v>2058</v>
      </c>
      <c r="W54" s="16" t="s">
        <v>2058</v>
      </c>
      <c r="AA54" s="1" t="s">
        <v>112</v>
      </c>
      <c r="AB54" s="367">
        <v>0.03</v>
      </c>
      <c r="AC54" s="367">
        <f t="shared" si="5"/>
        <v>0.03</v>
      </c>
    </row>
    <row r="55" spans="1:29">
      <c r="A55" s="367">
        <v>34</v>
      </c>
      <c r="B55" s="367" t="s">
        <v>1810</v>
      </c>
      <c r="C55" t="s">
        <v>2001</v>
      </c>
      <c r="D55" s="1" t="s">
        <v>2002</v>
      </c>
      <c r="E55" s="1" t="s">
        <v>2002</v>
      </c>
      <c r="F55" s="297">
        <v>0.44500000000000001</v>
      </c>
      <c r="G55" s="297">
        <v>229.86</v>
      </c>
      <c r="H55" s="391">
        <f t="shared" si="6"/>
        <v>3.23</v>
      </c>
      <c r="I55" s="391">
        <f t="shared" si="7"/>
        <v>3.58</v>
      </c>
      <c r="J55" s="391">
        <f t="shared" si="8"/>
        <v>4.12</v>
      </c>
      <c r="K55" s="391">
        <f t="shared" si="9"/>
        <v>6.67</v>
      </c>
      <c r="O55" s="367">
        <v>34</v>
      </c>
      <c r="P55" t="s">
        <v>1018</v>
      </c>
      <c r="Q55" s="5">
        <v>5.3</v>
      </c>
      <c r="S55" s="1">
        <v>34</v>
      </c>
      <c r="T55" s="367" t="s">
        <v>140</v>
      </c>
      <c r="U55" s="1" t="s">
        <v>2057</v>
      </c>
      <c r="V55" s="16" t="s">
        <v>2059</v>
      </c>
      <c r="W55" s="16" t="s">
        <v>2059</v>
      </c>
      <c r="AA55" s="1" t="s">
        <v>112</v>
      </c>
      <c r="AB55" s="367">
        <v>0.9</v>
      </c>
      <c r="AC55" s="367">
        <f t="shared" si="5"/>
        <v>0.9</v>
      </c>
    </row>
    <row r="56" spans="1:29">
      <c r="A56" s="367">
        <v>35</v>
      </c>
      <c r="B56" s="367" t="s">
        <v>1810</v>
      </c>
      <c r="C56" t="s">
        <v>2005</v>
      </c>
      <c r="D56" s="1" t="s">
        <v>2006</v>
      </c>
      <c r="E56" s="1" t="s">
        <v>2006</v>
      </c>
      <c r="F56" s="297">
        <v>0.38100000000000001</v>
      </c>
      <c r="G56" s="297">
        <v>275.64</v>
      </c>
      <c r="H56" s="391">
        <f t="shared" si="6"/>
        <v>2.76</v>
      </c>
      <c r="I56" s="391">
        <f t="shared" si="7"/>
        <v>3.06</v>
      </c>
      <c r="J56" s="391">
        <f t="shared" si="8"/>
        <v>3.9</v>
      </c>
      <c r="K56" s="391">
        <f t="shared" si="9"/>
        <v>6.95</v>
      </c>
      <c r="O56" s="367">
        <v>35</v>
      </c>
      <c r="P56" t="s">
        <v>981</v>
      </c>
      <c r="Q56" s="5">
        <v>2.5</v>
      </c>
      <c r="S56" s="1">
        <v>35</v>
      </c>
      <c r="T56" s="367" t="s">
        <v>1872</v>
      </c>
      <c r="U56" s="1" t="s">
        <v>2069</v>
      </c>
      <c r="V56" s="16" t="s">
        <v>301</v>
      </c>
      <c r="W56" s="16" t="s">
        <v>301</v>
      </c>
      <c r="AA56" s="1" t="s">
        <v>112</v>
      </c>
      <c r="AB56" s="367">
        <v>3.5</v>
      </c>
      <c r="AC56" s="367">
        <f t="shared" si="5"/>
        <v>3.5</v>
      </c>
    </row>
    <row r="57" spans="1:29">
      <c r="A57" s="367">
        <v>36</v>
      </c>
      <c r="B57" s="367" t="s">
        <v>1810</v>
      </c>
      <c r="C57" t="s">
        <v>2007</v>
      </c>
      <c r="D57" s="1" t="s">
        <v>2008</v>
      </c>
      <c r="E57" s="1" t="s">
        <v>2008</v>
      </c>
      <c r="F57" s="297">
        <v>0.47499999999999998</v>
      </c>
      <c r="G57" s="297">
        <v>333.05</v>
      </c>
      <c r="H57" s="391">
        <f t="shared" si="6"/>
        <v>3.44</v>
      </c>
      <c r="I57" s="391">
        <f t="shared" si="7"/>
        <v>3.82</v>
      </c>
      <c r="J57" s="391">
        <f t="shared" si="8"/>
        <v>4.8099999999999996</v>
      </c>
      <c r="K57" s="391">
        <f t="shared" si="9"/>
        <v>8.5</v>
      </c>
      <c r="O57" s="367">
        <v>36</v>
      </c>
      <c r="P57" t="s">
        <v>989</v>
      </c>
      <c r="Q57" s="5">
        <v>5.0999999999999996</v>
      </c>
      <c r="S57" s="1">
        <v>36</v>
      </c>
      <c r="T57" s="367" t="s">
        <v>336</v>
      </c>
      <c r="U57" s="1" t="s">
        <v>2070</v>
      </c>
      <c r="V57" s="16" t="s">
        <v>302</v>
      </c>
      <c r="W57" s="16" t="s">
        <v>302</v>
      </c>
      <c r="AA57" s="1" t="s">
        <v>176</v>
      </c>
      <c r="AB57" s="367">
        <v>48</v>
      </c>
      <c r="AC57" s="367">
        <f t="shared" si="5"/>
        <v>48</v>
      </c>
    </row>
    <row r="58" spans="1:29">
      <c r="A58" s="367">
        <v>37</v>
      </c>
      <c r="B58" s="367" t="s">
        <v>1810</v>
      </c>
      <c r="C58" t="s">
        <v>2009</v>
      </c>
      <c r="D58" s="1" t="s">
        <v>2010</v>
      </c>
      <c r="E58" s="1" t="s">
        <v>2010</v>
      </c>
      <c r="F58" s="297">
        <v>0.41199999999999998</v>
      </c>
      <c r="G58" s="297">
        <v>287.64999999999998</v>
      </c>
      <c r="H58" s="391">
        <f t="shared" si="6"/>
        <v>2.99</v>
      </c>
      <c r="I58" s="391">
        <f t="shared" si="7"/>
        <v>3.31</v>
      </c>
      <c r="J58" s="391">
        <f t="shared" si="8"/>
        <v>4.17</v>
      </c>
      <c r="K58" s="391">
        <f t="shared" si="9"/>
        <v>7.35</v>
      </c>
      <c r="O58" s="367">
        <v>37</v>
      </c>
      <c r="P58" t="s">
        <v>1025</v>
      </c>
      <c r="Q58" s="5">
        <v>5.5</v>
      </c>
      <c r="S58" s="1">
        <v>37</v>
      </c>
      <c r="T58" s="367" t="s">
        <v>303</v>
      </c>
      <c r="U58" s="1" t="s">
        <v>2071</v>
      </c>
      <c r="V58" s="16" t="s">
        <v>303</v>
      </c>
      <c r="W58" s="16" t="s">
        <v>303</v>
      </c>
      <c r="AA58" s="1" t="s">
        <v>176</v>
      </c>
      <c r="AB58" s="367">
        <v>37</v>
      </c>
      <c r="AC58" s="367">
        <f t="shared" si="5"/>
        <v>37</v>
      </c>
    </row>
    <row r="59" spans="1:29">
      <c r="A59" s="367">
        <v>38</v>
      </c>
      <c r="B59" s="367" t="s">
        <v>1810</v>
      </c>
      <c r="C59" t="s">
        <v>2011</v>
      </c>
      <c r="D59" s="1" t="s">
        <v>2012</v>
      </c>
      <c r="E59" s="1" t="s">
        <v>2012</v>
      </c>
      <c r="F59" s="297">
        <v>0.30299999999999999</v>
      </c>
      <c r="G59" s="297">
        <v>214.01</v>
      </c>
      <c r="H59" s="391">
        <f t="shared" si="6"/>
        <v>2.2000000000000002</v>
      </c>
      <c r="I59" s="391">
        <f t="shared" si="7"/>
        <v>2.44</v>
      </c>
      <c r="J59" s="391">
        <f t="shared" si="8"/>
        <v>3.07</v>
      </c>
      <c r="K59" s="391">
        <f t="shared" si="9"/>
        <v>5.44</v>
      </c>
      <c r="O59" s="367">
        <v>38</v>
      </c>
      <c r="P59" t="s">
        <v>1012</v>
      </c>
      <c r="Q59" s="5">
        <v>4.9000000000000004</v>
      </c>
      <c r="S59" s="1">
        <v>38</v>
      </c>
      <c r="T59" s="367" t="s">
        <v>2075</v>
      </c>
      <c r="U59" s="1" t="s">
        <v>2072</v>
      </c>
      <c r="V59" s="16" t="s">
        <v>295</v>
      </c>
      <c r="W59" s="16" t="s">
        <v>295</v>
      </c>
      <c r="AA59" s="1" t="s">
        <v>103</v>
      </c>
      <c r="AB59" s="367">
        <v>1.0833333333333299</v>
      </c>
      <c r="AC59" s="367">
        <f t="shared" si="5"/>
        <v>1.0833333333333299</v>
      </c>
    </row>
    <row r="60" spans="1:29">
      <c r="A60" s="367">
        <v>39</v>
      </c>
      <c r="B60" s="367" t="s">
        <v>1810</v>
      </c>
      <c r="C60" t="s">
        <v>2013</v>
      </c>
      <c r="D60" s="1" t="s">
        <v>2014</v>
      </c>
      <c r="E60" s="1" t="s">
        <v>2014</v>
      </c>
      <c r="F60" s="297">
        <v>0.22500000000000001</v>
      </c>
      <c r="G60" s="297">
        <v>158.41999999999999</v>
      </c>
      <c r="H60" s="391">
        <f t="shared" si="6"/>
        <v>1.63</v>
      </c>
      <c r="I60" s="391">
        <f t="shared" si="7"/>
        <v>1.81</v>
      </c>
      <c r="J60" s="391">
        <f t="shared" si="8"/>
        <v>2.2799999999999998</v>
      </c>
      <c r="K60" s="391">
        <f t="shared" si="9"/>
        <v>4.04</v>
      </c>
      <c r="O60" s="367">
        <v>39</v>
      </c>
      <c r="P60" t="s">
        <v>995</v>
      </c>
      <c r="Q60" s="5">
        <v>8.6999999999999993</v>
      </c>
      <c r="S60" s="1">
        <v>39</v>
      </c>
      <c r="T60" s="367" t="s">
        <v>299</v>
      </c>
      <c r="U60" s="1" t="s">
        <v>2073</v>
      </c>
      <c r="V60" s="16" t="s">
        <v>299</v>
      </c>
      <c r="W60" s="16" t="s">
        <v>299</v>
      </c>
      <c r="AA60" s="1" t="s">
        <v>112</v>
      </c>
      <c r="AB60" s="367">
        <v>16</v>
      </c>
      <c r="AC60" s="367">
        <f t="shared" si="5"/>
        <v>16</v>
      </c>
    </row>
    <row r="61" spans="1:29">
      <c r="A61" s="367">
        <v>40</v>
      </c>
      <c r="B61" s="367" t="s">
        <v>1810</v>
      </c>
      <c r="C61" t="s">
        <v>2003</v>
      </c>
      <c r="D61" s="1" t="s">
        <v>2004</v>
      </c>
      <c r="E61" s="1" t="s">
        <v>2004</v>
      </c>
      <c r="F61" s="297">
        <v>0.16</v>
      </c>
      <c r="G61" s="297">
        <v>115.55</v>
      </c>
      <c r="H61" s="391">
        <f t="shared" si="6"/>
        <v>1.1599999999999999</v>
      </c>
      <c r="I61" s="391">
        <f t="shared" si="7"/>
        <v>1.29</v>
      </c>
      <c r="J61" s="391">
        <f t="shared" si="8"/>
        <v>1.64</v>
      </c>
      <c r="K61" s="391">
        <f t="shared" si="9"/>
        <v>2.91</v>
      </c>
      <c r="O61" s="367">
        <v>40</v>
      </c>
      <c r="P61" t="s">
        <v>1004</v>
      </c>
      <c r="Q61" s="5">
        <v>3.5</v>
      </c>
      <c r="S61" s="1">
        <v>40</v>
      </c>
      <c r="T61" s="367" t="s">
        <v>300</v>
      </c>
      <c r="U61" s="1" t="s">
        <v>2074</v>
      </c>
      <c r="V61" s="16" t="s">
        <v>300</v>
      </c>
      <c r="W61" s="16" t="s">
        <v>300</v>
      </c>
      <c r="AA61" s="1" t="s">
        <v>112</v>
      </c>
      <c r="AB61" s="367">
        <v>9</v>
      </c>
      <c r="AC61" s="367">
        <f t="shared" si="5"/>
        <v>9</v>
      </c>
    </row>
    <row r="62" spans="1:29">
      <c r="A62" s="367">
        <v>41</v>
      </c>
      <c r="B62" s="367" t="s">
        <v>1810</v>
      </c>
      <c r="C62" t="s">
        <v>2015</v>
      </c>
      <c r="D62" s="1" t="s">
        <v>2016</v>
      </c>
      <c r="E62" s="1" t="s">
        <v>2016</v>
      </c>
      <c r="F62" s="297">
        <v>0.27</v>
      </c>
      <c r="G62" s="297">
        <v>193.98</v>
      </c>
      <c r="H62" s="391">
        <f t="shared" si="6"/>
        <v>1.96</v>
      </c>
      <c r="I62" s="391">
        <f t="shared" si="7"/>
        <v>2.17</v>
      </c>
      <c r="J62" s="391">
        <f t="shared" si="8"/>
        <v>2.76</v>
      </c>
      <c r="K62" s="391">
        <f t="shared" si="9"/>
        <v>4.9000000000000004</v>
      </c>
      <c r="O62" s="367">
        <v>41</v>
      </c>
      <c r="P62" t="s">
        <v>1021</v>
      </c>
      <c r="Q62" s="5">
        <v>10</v>
      </c>
      <c r="S62" s="1">
        <v>41</v>
      </c>
      <c r="T62" s="367" t="s">
        <v>2131</v>
      </c>
      <c r="U62" s="1" t="s">
        <v>2132</v>
      </c>
      <c r="V62" s="16" t="s">
        <v>2146</v>
      </c>
      <c r="W62" s="16" t="s">
        <v>2133</v>
      </c>
      <c r="X62" s="367" t="s">
        <v>2134</v>
      </c>
      <c r="Y62" s="367">
        <v>100</v>
      </c>
      <c r="Z62" s="1">
        <v>110</v>
      </c>
      <c r="AA62" s="1" t="s">
        <v>112</v>
      </c>
      <c r="AC62" s="367">
        <f>IF($AB62&lt;&gt;"",$AB62,IFERROR(ROUNDUP($Z62/$Y62,1),""))</f>
        <v>1.1000000000000001</v>
      </c>
    </row>
    <row r="63" spans="1:29">
      <c r="A63" s="367">
        <v>42</v>
      </c>
      <c r="B63" s="367" t="s">
        <v>1810</v>
      </c>
      <c r="C63" t="s">
        <v>2077</v>
      </c>
      <c r="D63" s="1" t="s">
        <v>762</v>
      </c>
      <c r="E63" s="1" t="s">
        <v>762</v>
      </c>
      <c r="F63" s="297">
        <v>0.221</v>
      </c>
      <c r="G63" s="297">
        <v>162.82</v>
      </c>
      <c r="H63" s="391">
        <f t="shared" si="6"/>
        <v>1.6</v>
      </c>
      <c r="I63" s="391">
        <f t="shared" si="7"/>
        <v>1.78</v>
      </c>
      <c r="J63" s="391">
        <f t="shared" si="8"/>
        <v>2.27</v>
      </c>
      <c r="K63" s="391">
        <f t="shared" si="9"/>
        <v>4.08</v>
      </c>
      <c r="O63" s="367">
        <v>42</v>
      </c>
      <c r="P63" t="s">
        <v>1023</v>
      </c>
      <c r="Q63" s="5">
        <v>11</v>
      </c>
      <c r="S63" s="1">
        <v>42</v>
      </c>
      <c r="T63" s="367" t="s">
        <v>1872</v>
      </c>
      <c r="U63" s="1" t="s">
        <v>2115</v>
      </c>
      <c r="V63" s="16" t="s">
        <v>2146</v>
      </c>
      <c r="W63" s="367" t="s">
        <v>2116</v>
      </c>
      <c r="AA63" s="1" t="s">
        <v>112</v>
      </c>
      <c r="AB63" s="367">
        <v>10.5</v>
      </c>
      <c r="AC63" s="367">
        <f t="shared" si="5"/>
        <v>10.5</v>
      </c>
    </row>
    <row r="64" spans="1:29">
      <c r="A64" s="367">
        <v>43</v>
      </c>
      <c r="B64" s="367" t="s">
        <v>1810</v>
      </c>
      <c r="C64" s="367" t="s">
        <v>2027</v>
      </c>
      <c r="D64" s="1" t="s">
        <v>2028</v>
      </c>
      <c r="E64" s="1" t="s">
        <v>2028</v>
      </c>
      <c r="F64" s="297">
        <v>0.56100000000000005</v>
      </c>
      <c r="G64" s="297">
        <v>352.56</v>
      </c>
      <c r="H64" s="391">
        <f>IF($C64="","",ROUND((($B$2*$F64*($B$5/1000))/$B$6)*(1+IF($B$18="",0,$B$18)),2))</f>
        <v>4.07</v>
      </c>
      <c r="I64" s="391">
        <f>IF($C64="","",ROUND((($B$3*$F64*($B$5/1000))/$B$6)*(1+IF($B$18="",0,$B$18)),2))</f>
        <v>4.51</v>
      </c>
      <c r="J64" s="391">
        <f>IF(OR($C64="",$B$9="",$B$15=""),"",ROUND((((((IF($B$15="N/A",$B$2,$B$4))*$F64*($B$5/1000))+((($G64/1000)*($B$5/1000)*10.7639104)*(IF($B$9="Smooth",$B$10,IF($B$9="Sand",$B$11,0)))))*(1+$B$17))/$B$8)*(1+IF($B$18="",0,$B$18)),2))</f>
        <v>5.49</v>
      </c>
      <c r="K64" s="391">
        <f>IF(OR($C64="",$B$12="",$B$15=""),"",ROUND((((((IF($B$15="N/A",$B$2,$B$4))*$F64*($B$5/1000))+((($G64/1000)*($B$5/1000)*10.7639104)*(IF($B$12="Indoor",$B$13,IF($B$12="Outdoor",$B$14,0)))))*(1+$B$17))/$B$8)*(1+IF($B$18="",0,$B$18)),2))</f>
        <v>9.39</v>
      </c>
      <c r="O64" s="367">
        <v>43</v>
      </c>
      <c r="P64" t="s">
        <v>1335</v>
      </c>
      <c r="Q64" s="5">
        <v>5.5</v>
      </c>
      <c r="S64" s="1">
        <v>43</v>
      </c>
      <c r="T64" s="367" t="s">
        <v>1872</v>
      </c>
      <c r="U64" s="1" t="s">
        <v>2117</v>
      </c>
      <c r="V64" s="16" t="s">
        <v>2146</v>
      </c>
      <c r="W64" s="367" t="s">
        <v>2118</v>
      </c>
      <c r="AA64" s="1" t="s">
        <v>112</v>
      </c>
      <c r="AB64" s="367">
        <v>14</v>
      </c>
      <c r="AC64" s="367">
        <f t="shared" si="5"/>
        <v>14</v>
      </c>
    </row>
    <row r="65" spans="1:29">
      <c r="A65" s="367">
        <v>44</v>
      </c>
      <c r="B65" s="367" t="s">
        <v>1810</v>
      </c>
      <c r="C65" t="s">
        <v>2017</v>
      </c>
      <c r="D65" s="1" t="s">
        <v>1996</v>
      </c>
      <c r="E65" s="1" t="s">
        <v>1996</v>
      </c>
      <c r="F65" s="297">
        <v>0.57399999999999995</v>
      </c>
      <c r="G65" s="297">
        <v>242.95</v>
      </c>
      <c r="H65" s="391">
        <f>IF($C65="","",ROUND((($B$2*$F65*($B$5/1000))/$B$6)*(1+IF($B$18="",0,$B$18)),2))</f>
        <v>4.16</v>
      </c>
      <c r="I65" s="391">
        <f>IF($C65="","",ROUND((($B$3*$F65*($B$5/1000))/$B$6)*(1+IF($B$18="",0,$B$18)),2))</f>
        <v>4.6100000000000003</v>
      </c>
      <c r="J65" s="391">
        <f>IF(OR($C65="",$B$9="",$B$15=""),"",ROUND((((((IF($B$15="N/A",$B$2,$B$4))*$F65*($B$5/1000))+((($G65/1000)*($B$5/1000)*10.7639104)*(IF($B$9="Smooth",$B$10,IF($B$9="Sand",$B$11,0)))))*(1+$B$17))/$B$8)*(1+IF($B$18="",0,$B$18)),2))</f>
        <v>5.07</v>
      </c>
      <c r="K65" s="391">
        <f>IF(OR($C65="",$B$12="",$B$15=""),"",ROUND((((((IF($B$15="N/A",$B$2,$B$4))*$F65*($B$5/1000))+((($G65/1000)*($B$5/1000)*10.7639104)*(IF($B$12="Indoor",$B$13,IF($B$12="Outdoor",$B$14,0)))))*(1+$B$17))/$B$8)*(1+IF($B$18="",0,$B$18)),2))</f>
        <v>7.76</v>
      </c>
      <c r="O65" s="367">
        <v>44</v>
      </c>
      <c r="P65" t="s">
        <v>1007</v>
      </c>
      <c r="Q65" s="5">
        <v>8.9</v>
      </c>
      <c r="S65" s="1">
        <v>44</v>
      </c>
      <c r="T65" s="367" t="s">
        <v>334</v>
      </c>
      <c r="U65" s="1" t="s">
        <v>2119</v>
      </c>
      <c r="V65" s="16" t="s">
        <v>2146</v>
      </c>
      <c r="W65" s="367" t="s">
        <v>2120</v>
      </c>
      <c r="AA65" s="1" t="s">
        <v>112</v>
      </c>
      <c r="AB65" s="367">
        <v>13</v>
      </c>
      <c r="AC65" s="367">
        <f t="shared" si="5"/>
        <v>13</v>
      </c>
    </row>
    <row r="66" spans="1:29">
      <c r="A66" s="367">
        <v>45</v>
      </c>
      <c r="B66" s="367" t="s">
        <v>1810</v>
      </c>
      <c r="C66" t="s">
        <v>2018</v>
      </c>
      <c r="D66" s="1" t="s">
        <v>1998</v>
      </c>
      <c r="E66" s="1" t="s">
        <v>1998</v>
      </c>
      <c r="F66" s="297">
        <v>0.67800000000000005</v>
      </c>
      <c r="G66" s="297">
        <v>447.93</v>
      </c>
      <c r="H66" s="391">
        <f>IF($C66="","",ROUND((($B$2*$F66*($B$5/1000))/$B$6)*(1+IF($B$18="",0,$B$18)),2))</f>
        <v>4.92</v>
      </c>
      <c r="I66" s="391">
        <f>IF($C66="","",ROUND((($B$3*$F66*($B$5/1000))/$B$6)*(1+IF($B$18="",0,$B$18)),2))</f>
        <v>5.45</v>
      </c>
      <c r="J66" s="391">
        <f>IF(OR($C66="",$B$9="",$B$15=""),"",ROUND((((((IF($B$15="N/A",$B$2,$B$4))*$F66*($B$5/1000))+((($G66/1000)*($B$5/1000)*10.7639104)*(IF($B$9="Smooth",$B$10,IF($B$9="Sand",$B$11,0)))))*(1+$B$17))/$B$8)*(1+IF($B$18="",0,$B$18)),2))</f>
        <v>6.74</v>
      </c>
      <c r="K66" s="391">
        <f>IF(OR($C66="",$B$12="",$B$15=""),"",ROUND((((((IF($B$15="N/A",$B$2,$B$4))*$F66*($B$5/1000))+((($G66/1000)*($B$5/1000)*10.7639104)*(IF($B$12="Indoor",$B$13,IF($B$12="Outdoor",$B$14,0)))))*(1+$B$17))/$B$8)*(1+IF($B$18="",0,$B$18)),2))</f>
        <v>11.7</v>
      </c>
      <c r="O66" s="367">
        <v>45</v>
      </c>
      <c r="P66" t="s">
        <v>1009</v>
      </c>
      <c r="Q66" s="5">
        <v>8.9</v>
      </c>
      <c r="S66" s="1">
        <v>45</v>
      </c>
      <c r="T66" s="367" t="s">
        <v>336</v>
      </c>
      <c r="U66" s="1" t="s">
        <v>2121</v>
      </c>
      <c r="V66" s="16" t="s">
        <v>2146</v>
      </c>
      <c r="W66" s="367" t="s">
        <v>2122</v>
      </c>
      <c r="AA66" s="1" t="s">
        <v>112</v>
      </c>
      <c r="AB66" s="367">
        <v>13</v>
      </c>
      <c r="AC66" s="367">
        <f t="shared" si="5"/>
        <v>13</v>
      </c>
    </row>
    <row r="67" spans="1:29">
      <c r="A67" s="367">
        <v>46</v>
      </c>
      <c r="B67" s="367" t="s">
        <v>1810</v>
      </c>
      <c r="C67" s="367" t="s">
        <v>2019</v>
      </c>
      <c r="D67" s="1" t="s">
        <v>2000</v>
      </c>
      <c r="E67" s="1" t="s">
        <v>2000</v>
      </c>
      <c r="F67" s="297">
        <v>0.36199999999999999</v>
      </c>
      <c r="G67" s="297">
        <v>235.9</v>
      </c>
      <c r="H67" s="391">
        <f t="shared" si="6"/>
        <v>2.63</v>
      </c>
      <c r="I67" s="391">
        <f t="shared" si="7"/>
        <v>2.91</v>
      </c>
      <c r="J67" s="391">
        <f t="shared" si="8"/>
        <v>3.58</v>
      </c>
      <c r="K67" s="391">
        <f t="shared" si="9"/>
        <v>6.19</v>
      </c>
      <c r="O67" s="367">
        <v>46</v>
      </c>
      <c r="P67" t="s">
        <v>1028</v>
      </c>
      <c r="Q67" s="5">
        <v>8.9</v>
      </c>
      <c r="S67" s="1">
        <v>46</v>
      </c>
      <c r="T67" s="367" t="s">
        <v>140</v>
      </c>
      <c r="U67" s="1" t="s">
        <v>2123</v>
      </c>
      <c r="V67" s="16" t="s">
        <v>2146</v>
      </c>
      <c r="W67" s="367" t="s">
        <v>2124</v>
      </c>
      <c r="AA67" s="1" t="s">
        <v>112</v>
      </c>
      <c r="AB67" s="367">
        <v>55</v>
      </c>
      <c r="AC67" s="367">
        <f t="shared" si="5"/>
        <v>55</v>
      </c>
    </row>
    <row r="68" spans="1:29">
      <c r="A68" s="367">
        <v>47</v>
      </c>
      <c r="B68" s="367" t="s">
        <v>1810</v>
      </c>
      <c r="C68" s="367" t="s">
        <v>2020</v>
      </c>
      <c r="D68" s="1" t="s">
        <v>2002</v>
      </c>
      <c r="E68" s="1" t="s">
        <v>2002</v>
      </c>
      <c r="F68" s="297">
        <v>0.60499999999999998</v>
      </c>
      <c r="G68" s="297">
        <v>290.42</v>
      </c>
      <c r="H68" s="391">
        <f t="shared" si="6"/>
        <v>4.3899999999999997</v>
      </c>
      <c r="I68" s="391">
        <f t="shared" si="7"/>
        <v>4.8600000000000003</v>
      </c>
      <c r="J68" s="391">
        <f t="shared" si="8"/>
        <v>5.5</v>
      </c>
      <c r="K68" s="391">
        <f t="shared" si="9"/>
        <v>8.7200000000000006</v>
      </c>
      <c r="O68" s="367">
        <v>47</v>
      </c>
      <c r="P68" t="s">
        <v>987</v>
      </c>
      <c r="Q68" s="5">
        <v>5.5</v>
      </c>
      <c r="S68" s="1">
        <v>47</v>
      </c>
      <c r="T68" s="367" t="s">
        <v>2139</v>
      </c>
      <c r="U68" s="1" t="s">
        <v>2142</v>
      </c>
      <c r="V68" s="16" t="s">
        <v>2146</v>
      </c>
      <c r="W68" s="367" t="s">
        <v>2140</v>
      </c>
      <c r="AA68" s="1" t="s">
        <v>112</v>
      </c>
      <c r="AB68" s="367">
        <v>28</v>
      </c>
      <c r="AC68" s="367">
        <f t="shared" si="5"/>
        <v>28</v>
      </c>
    </row>
    <row r="69" spans="1:29">
      <c r="A69" s="367">
        <v>48</v>
      </c>
      <c r="B69" s="367" t="s">
        <v>1810</v>
      </c>
      <c r="C69" s="367" t="s">
        <v>2021</v>
      </c>
      <c r="D69" s="1" t="s">
        <v>2006</v>
      </c>
      <c r="E69" s="1" t="s">
        <v>2006</v>
      </c>
      <c r="F69" s="297">
        <v>0.49199999999999999</v>
      </c>
      <c r="G69" s="297">
        <v>325.89</v>
      </c>
      <c r="H69" s="391">
        <f t="shared" si="6"/>
        <v>3.57</v>
      </c>
      <c r="I69" s="391">
        <f t="shared" si="7"/>
        <v>3.95</v>
      </c>
      <c r="J69" s="391">
        <f t="shared" si="8"/>
        <v>4.8899999999999997</v>
      </c>
      <c r="K69" s="391">
        <f t="shared" si="9"/>
        <v>8.5</v>
      </c>
      <c r="O69" s="367">
        <v>48</v>
      </c>
      <c r="P69" t="s">
        <v>1016</v>
      </c>
      <c r="Q69" s="5">
        <v>7</v>
      </c>
      <c r="S69" s="1">
        <v>48</v>
      </c>
      <c r="T69" s="367" t="s">
        <v>336</v>
      </c>
      <c r="U69" s="1" t="s">
        <v>2125</v>
      </c>
      <c r="V69" s="16" t="s">
        <v>2146</v>
      </c>
      <c r="W69" s="367" t="s">
        <v>2126</v>
      </c>
      <c r="AA69" s="1" t="s">
        <v>111</v>
      </c>
      <c r="AB69" s="367">
        <v>12</v>
      </c>
      <c r="AC69" s="367">
        <f t="shared" si="5"/>
        <v>12</v>
      </c>
    </row>
    <row r="70" spans="1:29">
      <c r="A70" s="367">
        <v>49</v>
      </c>
      <c r="B70" s="367" t="s">
        <v>1810</v>
      </c>
      <c r="C70" s="367" t="s">
        <v>2022</v>
      </c>
      <c r="D70" s="1" t="s">
        <v>2008</v>
      </c>
      <c r="E70" s="1" t="s">
        <v>2008</v>
      </c>
      <c r="F70" s="297">
        <v>0.64900000000000002</v>
      </c>
      <c r="G70" s="297">
        <v>415.58</v>
      </c>
      <c r="H70" s="391">
        <f t="shared" si="6"/>
        <v>4.71</v>
      </c>
      <c r="I70" s="391">
        <f t="shared" si="7"/>
        <v>5.22</v>
      </c>
      <c r="J70" s="391">
        <f t="shared" si="8"/>
        <v>6.39</v>
      </c>
      <c r="K70" s="391">
        <f t="shared" si="9"/>
        <v>10.99</v>
      </c>
      <c r="O70" s="367">
        <v>49</v>
      </c>
      <c r="P70" t="s">
        <v>1014</v>
      </c>
      <c r="Q70" s="5">
        <v>7</v>
      </c>
      <c r="S70" s="1">
        <v>49</v>
      </c>
      <c r="T70" s="367" t="s">
        <v>336</v>
      </c>
      <c r="U70" s="1" t="s">
        <v>2127</v>
      </c>
      <c r="V70" s="16" t="s">
        <v>2146</v>
      </c>
      <c r="W70" s="367" t="s">
        <v>2128</v>
      </c>
      <c r="AA70" s="1" t="s">
        <v>176</v>
      </c>
      <c r="AB70" s="367">
        <v>135</v>
      </c>
      <c r="AC70" s="367">
        <f t="shared" si="5"/>
        <v>135</v>
      </c>
    </row>
    <row r="71" spans="1:29">
      <c r="A71" s="367">
        <v>50</v>
      </c>
      <c r="B71" s="367" t="s">
        <v>1810</v>
      </c>
      <c r="C71" s="367" t="s">
        <v>2023</v>
      </c>
      <c r="D71" s="1" t="s">
        <v>2010</v>
      </c>
      <c r="E71" s="1" t="s">
        <v>2010</v>
      </c>
      <c r="F71" s="297">
        <v>0.54400000000000004</v>
      </c>
      <c r="G71" s="297">
        <v>348.25</v>
      </c>
      <c r="H71" s="391">
        <f t="shared" si="6"/>
        <v>3.95</v>
      </c>
      <c r="I71" s="391">
        <f t="shared" si="7"/>
        <v>4.37</v>
      </c>
      <c r="J71" s="391">
        <f t="shared" si="8"/>
        <v>5.35</v>
      </c>
      <c r="K71" s="391">
        <f t="shared" si="9"/>
        <v>9.2100000000000009</v>
      </c>
      <c r="O71" s="367">
        <v>50</v>
      </c>
      <c r="P71" t="s">
        <v>1010</v>
      </c>
      <c r="Q71" s="5">
        <v>4</v>
      </c>
      <c r="S71" s="1">
        <v>50</v>
      </c>
      <c r="T71" s="367" t="s">
        <v>336</v>
      </c>
      <c r="U71" s="1" t="s">
        <v>2129</v>
      </c>
      <c r="V71" s="16" t="s">
        <v>2146</v>
      </c>
      <c r="W71" s="367" t="s">
        <v>2130</v>
      </c>
      <c r="AA71" s="1" t="s">
        <v>111</v>
      </c>
      <c r="AB71" s="367">
        <v>7.8</v>
      </c>
      <c r="AC71" s="367">
        <f t="shared" si="5"/>
        <v>7.8</v>
      </c>
    </row>
    <row r="72" spans="1:29">
      <c r="A72" s="367">
        <v>51</v>
      </c>
      <c r="B72" s="367" t="s">
        <v>1810</v>
      </c>
      <c r="C72" s="367" t="s">
        <v>2024</v>
      </c>
      <c r="D72" s="1" t="s">
        <v>2012</v>
      </c>
      <c r="E72" s="1" t="s">
        <v>2012</v>
      </c>
      <c r="F72" s="297">
        <v>0.36499999999999999</v>
      </c>
      <c r="G72" s="297">
        <v>264.31</v>
      </c>
      <c r="H72" s="391">
        <f t="shared" si="6"/>
        <v>2.65</v>
      </c>
      <c r="I72" s="391">
        <f t="shared" si="7"/>
        <v>2.93</v>
      </c>
      <c r="J72" s="391">
        <f t="shared" si="8"/>
        <v>3.73</v>
      </c>
      <c r="K72" s="391">
        <f t="shared" si="9"/>
        <v>6.66</v>
      </c>
      <c r="O72" s="367">
        <v>51</v>
      </c>
      <c r="P72" t="s">
        <v>1002</v>
      </c>
      <c r="Q72" s="5">
        <v>9.1999999999999993</v>
      </c>
      <c r="S72" s="1">
        <v>51</v>
      </c>
      <c r="T72" s="367" t="s">
        <v>2135</v>
      </c>
      <c r="U72" s="1" t="s">
        <v>2136</v>
      </c>
      <c r="V72" s="16" t="s">
        <v>1968</v>
      </c>
      <c r="W72" s="367" t="s">
        <v>2137</v>
      </c>
      <c r="X72" s="367" t="s">
        <v>2138</v>
      </c>
      <c r="Y72" s="367">
        <v>500</v>
      </c>
      <c r="Z72" s="1">
        <v>39</v>
      </c>
      <c r="AA72" s="1" t="s">
        <v>112</v>
      </c>
      <c r="AC72" s="367">
        <f t="shared" si="5"/>
        <v>0.1</v>
      </c>
    </row>
    <row r="73" spans="1:29">
      <c r="A73" s="367">
        <v>52</v>
      </c>
      <c r="B73" s="367" t="s">
        <v>1810</v>
      </c>
      <c r="C73" s="367" t="s">
        <v>2025</v>
      </c>
      <c r="D73" s="1" t="s">
        <v>2014</v>
      </c>
      <c r="E73" s="1" t="s">
        <v>2014</v>
      </c>
      <c r="F73" s="297">
        <v>0.26</v>
      </c>
      <c r="G73" s="297">
        <v>181.75</v>
      </c>
      <c r="H73" s="391">
        <f t="shared" si="6"/>
        <v>1.89</v>
      </c>
      <c r="I73" s="391">
        <f t="shared" si="7"/>
        <v>2.09</v>
      </c>
      <c r="J73" s="391">
        <f t="shared" si="8"/>
        <v>2.63</v>
      </c>
      <c r="K73" s="391">
        <f t="shared" si="9"/>
        <v>4.6399999999999997</v>
      </c>
      <c r="O73" s="367">
        <v>52</v>
      </c>
      <c r="P73" t="s">
        <v>1019</v>
      </c>
      <c r="Q73" s="5">
        <v>8.5</v>
      </c>
      <c r="S73" s="1">
        <v>52</v>
      </c>
      <c r="T73" s="367" t="s">
        <v>2135</v>
      </c>
      <c r="U73" s="1" t="s">
        <v>2136</v>
      </c>
      <c r="V73" s="16" t="s">
        <v>1968</v>
      </c>
      <c r="W73" s="367" t="s">
        <v>2137</v>
      </c>
      <c r="X73" s="367" t="s">
        <v>2138</v>
      </c>
      <c r="Y73" s="367">
        <v>500</v>
      </c>
      <c r="Z73" s="1">
        <v>39</v>
      </c>
      <c r="AA73" s="1" t="s">
        <v>112</v>
      </c>
      <c r="AC73" s="367">
        <f t="shared" si="5"/>
        <v>0.1</v>
      </c>
    </row>
    <row r="74" spans="1:29">
      <c r="A74" s="367">
        <v>53</v>
      </c>
      <c r="B74" s="367" t="s">
        <v>1810</v>
      </c>
      <c r="C74" s="367" t="s">
        <v>2041</v>
      </c>
      <c r="D74" s="1" t="s">
        <v>2004</v>
      </c>
      <c r="E74" s="1" t="s">
        <v>2004</v>
      </c>
      <c r="F74" s="297">
        <v>0.253</v>
      </c>
      <c r="G74" s="297">
        <v>184.85</v>
      </c>
      <c r="H74" s="391">
        <f t="shared" si="6"/>
        <v>1.83</v>
      </c>
      <c r="I74" s="391">
        <f t="shared" si="7"/>
        <v>2.0299999999999998</v>
      </c>
      <c r="J74" s="391">
        <f t="shared" si="8"/>
        <v>2.6</v>
      </c>
      <c r="K74" s="391">
        <f t="shared" si="9"/>
        <v>4.6399999999999997</v>
      </c>
      <c r="O74" s="367">
        <v>53</v>
      </c>
      <c r="P74" t="s">
        <v>982</v>
      </c>
      <c r="Q74" s="5">
        <v>3.6</v>
      </c>
      <c r="S74" s="1">
        <v>53</v>
      </c>
      <c r="T74" s="367" t="s">
        <v>1872</v>
      </c>
      <c r="U74" s="1" t="s">
        <v>2143</v>
      </c>
      <c r="V74" s="16" t="s">
        <v>2146</v>
      </c>
      <c r="W74" s="367" t="s">
        <v>2144</v>
      </c>
      <c r="AA74" s="1" t="s">
        <v>112</v>
      </c>
      <c r="AB74" s="367">
        <v>11.5</v>
      </c>
      <c r="AC74" s="367">
        <f t="shared" si="5"/>
        <v>11.5</v>
      </c>
    </row>
    <row r="75" spans="1:29">
      <c r="A75" s="367">
        <v>54</v>
      </c>
      <c r="B75" s="367" t="s">
        <v>1810</v>
      </c>
      <c r="C75" s="367" t="s">
        <v>2026</v>
      </c>
      <c r="D75" s="1" t="s">
        <v>2016</v>
      </c>
      <c r="E75" s="1" t="s">
        <v>2016</v>
      </c>
      <c r="F75" s="297">
        <v>0.29599999999999999</v>
      </c>
      <c r="G75" s="297">
        <v>214.35</v>
      </c>
      <c r="H75" s="391">
        <f t="shared" si="6"/>
        <v>2.15</v>
      </c>
      <c r="I75" s="391">
        <f t="shared" si="7"/>
        <v>2.38</v>
      </c>
      <c r="J75" s="391">
        <f t="shared" si="8"/>
        <v>3.03</v>
      </c>
      <c r="K75" s="391">
        <f t="shared" si="9"/>
        <v>5.4</v>
      </c>
      <c r="O75" s="367">
        <v>54</v>
      </c>
      <c r="P75" t="s">
        <v>1026</v>
      </c>
      <c r="Q75" s="5">
        <v>8.5</v>
      </c>
      <c r="S75" s="1">
        <v>54</v>
      </c>
      <c r="T75" s="367" t="s">
        <v>2147</v>
      </c>
      <c r="U75" s="1" t="s">
        <v>2148</v>
      </c>
      <c r="V75" s="16" t="s">
        <v>2149</v>
      </c>
      <c r="W75" s="367" t="s">
        <v>2150</v>
      </c>
      <c r="X75" s="367" t="s">
        <v>1540</v>
      </c>
      <c r="Y75" s="367">
        <v>1</v>
      </c>
      <c r="Z75" s="1">
        <v>15</v>
      </c>
      <c r="AA75" s="1" t="s">
        <v>112</v>
      </c>
      <c r="AC75" s="367">
        <f t="shared" si="5"/>
        <v>15</v>
      </c>
    </row>
    <row r="76" spans="1:29">
      <c r="A76" s="367">
        <v>55</v>
      </c>
      <c r="B76" s="367" t="s">
        <v>1810</v>
      </c>
      <c r="C76" s="367" t="s">
        <v>2029</v>
      </c>
      <c r="D76" s="1" t="s">
        <v>2028</v>
      </c>
      <c r="E76" s="1" t="s">
        <v>2028</v>
      </c>
      <c r="F76" s="297">
        <v>0.72799999999999998</v>
      </c>
      <c r="G76" s="297">
        <v>398.57</v>
      </c>
      <c r="H76" s="391">
        <f t="shared" si="6"/>
        <v>5.28</v>
      </c>
      <c r="I76" s="391">
        <f t="shared" si="7"/>
        <v>5.85</v>
      </c>
      <c r="J76" s="391">
        <f t="shared" si="8"/>
        <v>6.85</v>
      </c>
      <c r="K76" s="391">
        <f t="shared" si="9"/>
        <v>11.26</v>
      </c>
      <c r="O76" s="367">
        <v>55</v>
      </c>
      <c r="P76" t="s">
        <v>996</v>
      </c>
      <c r="Q76" s="5">
        <v>12</v>
      </c>
      <c r="S76" s="1">
        <v>55</v>
      </c>
      <c r="T76" s="367" t="s">
        <v>2147</v>
      </c>
      <c r="U76" s="1" t="s">
        <v>2151</v>
      </c>
      <c r="V76" s="16" t="s">
        <v>2149</v>
      </c>
      <c r="W76" s="367" t="s">
        <v>2152</v>
      </c>
      <c r="X76" s="367" t="s">
        <v>1540</v>
      </c>
      <c r="Y76" s="367">
        <v>1</v>
      </c>
      <c r="Z76" s="1">
        <v>33</v>
      </c>
      <c r="AA76" s="1" t="s">
        <v>112</v>
      </c>
      <c r="AC76" s="367">
        <f t="shared" si="5"/>
        <v>33</v>
      </c>
    </row>
    <row r="77" spans="1:29">
      <c r="A77" s="367">
        <v>56</v>
      </c>
      <c r="B77" s="367" t="s">
        <v>1810</v>
      </c>
      <c r="C77" s="367" t="s">
        <v>2030</v>
      </c>
      <c r="D77" s="1" t="s">
        <v>1996</v>
      </c>
      <c r="E77" s="1" t="s">
        <v>1996</v>
      </c>
      <c r="F77" s="297">
        <v>0.245</v>
      </c>
      <c r="G77" s="297">
        <v>138.87</v>
      </c>
      <c r="H77" s="391">
        <f t="shared" si="6"/>
        <v>1.78</v>
      </c>
      <c r="I77" s="391">
        <f t="shared" si="7"/>
        <v>1.97</v>
      </c>
      <c r="J77" s="391">
        <f t="shared" si="8"/>
        <v>2.33</v>
      </c>
      <c r="K77" s="391">
        <f t="shared" si="9"/>
        <v>3.87</v>
      </c>
      <c r="O77" s="367">
        <v>56</v>
      </c>
      <c r="P77" t="s">
        <v>1005</v>
      </c>
      <c r="Q77" s="5">
        <v>4</v>
      </c>
      <c r="S77" s="1">
        <v>56</v>
      </c>
      <c r="T77" s="367" t="s">
        <v>2147</v>
      </c>
      <c r="U77" s="1" t="s">
        <v>2153</v>
      </c>
      <c r="V77" s="16" t="s">
        <v>2149</v>
      </c>
      <c r="W77" s="367" t="s">
        <v>2154</v>
      </c>
      <c r="X77" s="367" t="s">
        <v>1540</v>
      </c>
      <c r="Y77" s="367">
        <v>1</v>
      </c>
      <c r="Z77" s="1">
        <v>40</v>
      </c>
      <c r="AA77" s="1" t="s">
        <v>112</v>
      </c>
      <c r="AC77" s="367">
        <f t="shared" si="5"/>
        <v>40</v>
      </c>
    </row>
    <row r="78" spans="1:29">
      <c r="A78" s="367">
        <v>57</v>
      </c>
      <c r="B78" s="367" t="s">
        <v>1810</v>
      </c>
      <c r="C78" s="367" t="s">
        <v>2031</v>
      </c>
      <c r="D78" s="1" t="s">
        <v>1998</v>
      </c>
      <c r="E78" s="1" t="s">
        <v>1998</v>
      </c>
      <c r="F78" s="297">
        <v>0.30499999999999999</v>
      </c>
      <c r="G78" s="297">
        <v>249.52</v>
      </c>
      <c r="H78" s="391">
        <f t="shared" si="6"/>
        <v>2.21</v>
      </c>
      <c r="I78" s="391">
        <f t="shared" si="7"/>
        <v>2.4500000000000002</v>
      </c>
      <c r="J78" s="391">
        <f t="shared" si="8"/>
        <v>3.25</v>
      </c>
      <c r="K78" s="391">
        <f t="shared" si="9"/>
        <v>6.02</v>
      </c>
      <c r="O78" s="367">
        <v>57</v>
      </c>
      <c r="P78" t="s">
        <v>983</v>
      </c>
      <c r="Q78" s="5">
        <v>4.9000000000000004</v>
      </c>
      <c r="S78" s="1">
        <v>57</v>
      </c>
      <c r="T78" s="367" t="s">
        <v>2147</v>
      </c>
      <c r="U78" s="1" t="s">
        <v>2155</v>
      </c>
      <c r="V78" s="16" t="s">
        <v>2149</v>
      </c>
      <c r="W78" s="367" t="s">
        <v>2156</v>
      </c>
      <c r="X78" s="367" t="s">
        <v>2157</v>
      </c>
      <c r="Y78" s="367">
        <v>1</v>
      </c>
      <c r="Z78" s="1">
        <v>90</v>
      </c>
      <c r="AA78" s="1" t="s">
        <v>957</v>
      </c>
      <c r="AC78" s="367">
        <f t="shared" si="5"/>
        <v>90</v>
      </c>
    </row>
    <row r="79" spans="1:29">
      <c r="A79" s="367">
        <v>58</v>
      </c>
      <c r="B79" s="367" t="s">
        <v>1810</v>
      </c>
      <c r="C79" s="367" t="s">
        <v>2032</v>
      </c>
      <c r="D79" s="1" t="s">
        <v>2000</v>
      </c>
      <c r="E79" s="1" t="s">
        <v>2000</v>
      </c>
      <c r="F79" s="297">
        <v>0.22800000000000001</v>
      </c>
      <c r="G79" s="297">
        <v>185.38</v>
      </c>
      <c r="H79" s="391">
        <f t="shared" si="6"/>
        <v>1.65</v>
      </c>
      <c r="I79" s="391">
        <f t="shared" si="7"/>
        <v>1.83</v>
      </c>
      <c r="J79" s="391">
        <f t="shared" si="8"/>
        <v>2.4300000000000002</v>
      </c>
      <c r="K79" s="391">
        <f t="shared" si="9"/>
        <v>4.4800000000000004</v>
      </c>
      <c r="O79" s="367">
        <v>58</v>
      </c>
      <c r="P79" t="s">
        <v>997</v>
      </c>
      <c r="Q79" s="5">
        <v>13</v>
      </c>
      <c r="S79" s="1">
        <v>58</v>
      </c>
      <c r="T79" s="367" t="s">
        <v>2147</v>
      </c>
      <c r="U79" s="1" t="s">
        <v>2158</v>
      </c>
      <c r="V79" s="16" t="s">
        <v>2149</v>
      </c>
      <c r="W79" s="367" t="s">
        <v>2159</v>
      </c>
      <c r="X79" s="367" t="s">
        <v>2157</v>
      </c>
      <c r="Y79" s="367">
        <v>1</v>
      </c>
      <c r="Z79" s="1">
        <v>42</v>
      </c>
      <c r="AA79" s="1" t="s">
        <v>957</v>
      </c>
      <c r="AC79" s="367">
        <f t="shared" si="5"/>
        <v>42</v>
      </c>
    </row>
    <row r="80" spans="1:29">
      <c r="A80" s="367">
        <v>59</v>
      </c>
      <c r="B80" s="367" t="s">
        <v>1810</v>
      </c>
      <c r="C80" s="367" t="s">
        <v>2033</v>
      </c>
      <c r="D80" s="1" t="s">
        <v>2002</v>
      </c>
      <c r="E80" s="1" t="s">
        <v>2002</v>
      </c>
      <c r="F80" s="297">
        <v>0.28999999999999998</v>
      </c>
      <c r="G80" s="297">
        <v>180.15</v>
      </c>
      <c r="H80" s="391">
        <f t="shared" si="6"/>
        <v>2.1</v>
      </c>
      <c r="I80" s="391">
        <f t="shared" si="7"/>
        <v>2.33</v>
      </c>
      <c r="J80" s="391">
        <f t="shared" si="8"/>
        <v>2.83</v>
      </c>
      <c r="K80" s="391">
        <f t="shared" si="9"/>
        <v>4.82</v>
      </c>
      <c r="O80" s="367">
        <v>59</v>
      </c>
      <c r="P80" t="s">
        <v>984</v>
      </c>
      <c r="Q80" s="5">
        <v>5.7</v>
      </c>
      <c r="S80" s="1">
        <v>59</v>
      </c>
      <c r="T80" s="367" t="s">
        <v>2147</v>
      </c>
      <c r="U80" s="1" t="s">
        <v>2160</v>
      </c>
      <c r="V80" s="16" t="s">
        <v>2149</v>
      </c>
      <c r="W80" s="367" t="s">
        <v>2161</v>
      </c>
      <c r="X80" s="367" t="s">
        <v>2162</v>
      </c>
      <c r="Y80" s="367">
        <v>1</v>
      </c>
      <c r="Z80" s="1">
        <v>15</v>
      </c>
      <c r="AA80" s="1" t="s">
        <v>111</v>
      </c>
      <c r="AC80" s="367">
        <f t="shared" si="5"/>
        <v>15</v>
      </c>
    </row>
    <row r="81" spans="1:29">
      <c r="A81" s="367">
        <v>60</v>
      </c>
      <c r="B81" s="367" t="s">
        <v>1810</v>
      </c>
      <c r="C81" s="367" t="s">
        <v>2034</v>
      </c>
      <c r="D81" s="1" t="s">
        <v>2006</v>
      </c>
      <c r="E81" s="1" t="s">
        <v>2006</v>
      </c>
      <c r="F81" s="297">
        <v>0.28999999999999998</v>
      </c>
      <c r="G81" s="297">
        <v>241</v>
      </c>
      <c r="H81" s="391">
        <f t="shared" si="6"/>
        <v>2.1</v>
      </c>
      <c r="I81" s="391">
        <f t="shared" si="7"/>
        <v>2.33</v>
      </c>
      <c r="J81" s="391">
        <f t="shared" si="8"/>
        <v>3.11</v>
      </c>
      <c r="K81" s="391">
        <f t="shared" si="9"/>
        <v>5.78</v>
      </c>
      <c r="O81" s="367">
        <v>60</v>
      </c>
      <c r="P81" t="s">
        <v>998</v>
      </c>
      <c r="Q81" s="5">
        <v>14</v>
      </c>
      <c r="S81" s="1">
        <v>60</v>
      </c>
      <c r="T81" s="367" t="s">
        <v>2147</v>
      </c>
      <c r="U81" s="1" t="s">
        <v>2164</v>
      </c>
      <c r="V81" s="16" t="s">
        <v>2149</v>
      </c>
      <c r="W81" s="367" t="s">
        <v>2165</v>
      </c>
      <c r="X81" s="367" t="s">
        <v>1540</v>
      </c>
      <c r="Y81" s="367">
        <v>1</v>
      </c>
      <c r="Z81" s="1">
        <v>2</v>
      </c>
      <c r="AA81" s="1" t="s">
        <v>112</v>
      </c>
      <c r="AC81" s="367">
        <f t="shared" si="5"/>
        <v>2</v>
      </c>
    </row>
    <row r="82" spans="1:29">
      <c r="A82" s="367">
        <v>61</v>
      </c>
      <c r="B82" s="367" t="s">
        <v>1810</v>
      </c>
      <c r="C82" s="367" t="s">
        <v>2035</v>
      </c>
      <c r="D82" s="1" t="s">
        <v>2008</v>
      </c>
      <c r="E82" s="1" t="s">
        <v>2008</v>
      </c>
      <c r="F82" s="297">
        <v>0.38800000000000001</v>
      </c>
      <c r="G82" s="297">
        <v>314.19</v>
      </c>
      <c r="H82" s="391">
        <f t="shared" si="6"/>
        <v>2.81</v>
      </c>
      <c r="I82" s="391">
        <f t="shared" si="7"/>
        <v>3.12</v>
      </c>
      <c r="J82" s="391">
        <f t="shared" si="8"/>
        <v>4.12</v>
      </c>
      <c r="K82" s="391">
        <f t="shared" si="9"/>
        <v>7.6</v>
      </c>
      <c r="O82" s="367">
        <v>61</v>
      </c>
      <c r="P82" t="s">
        <v>1051</v>
      </c>
      <c r="Q82" s="5">
        <v>2.5</v>
      </c>
      <c r="S82" s="1">
        <v>61</v>
      </c>
      <c r="T82" s="367" t="s">
        <v>2147</v>
      </c>
      <c r="U82" s="1" t="s">
        <v>2166</v>
      </c>
      <c r="V82" s="16" t="s">
        <v>2149</v>
      </c>
      <c r="W82" s="367" t="s">
        <v>2167</v>
      </c>
      <c r="X82" s="367" t="s">
        <v>2163</v>
      </c>
      <c r="Y82" s="367">
        <v>1</v>
      </c>
      <c r="Z82" s="1">
        <v>90</v>
      </c>
      <c r="AA82" s="1" t="s">
        <v>176</v>
      </c>
      <c r="AC82" s="367">
        <f t="shared" si="5"/>
        <v>90</v>
      </c>
    </row>
    <row r="83" spans="1:29">
      <c r="A83" s="367">
        <v>62</v>
      </c>
      <c r="B83" s="367" t="s">
        <v>1810</v>
      </c>
      <c r="C83" s="367" t="s">
        <v>2036</v>
      </c>
      <c r="D83" s="1" t="s">
        <v>2010</v>
      </c>
      <c r="E83" s="1" t="s">
        <v>2010</v>
      </c>
      <c r="F83" s="297">
        <v>0.33800000000000002</v>
      </c>
      <c r="G83" s="297">
        <v>252.39</v>
      </c>
      <c r="H83" s="391">
        <f t="shared" si="6"/>
        <v>2.4500000000000002</v>
      </c>
      <c r="I83" s="391">
        <f t="shared" si="7"/>
        <v>2.72</v>
      </c>
      <c r="J83" s="391">
        <f t="shared" si="8"/>
        <v>3.49</v>
      </c>
      <c r="K83" s="391">
        <f t="shared" si="9"/>
        <v>6.29</v>
      </c>
      <c r="O83" s="367">
        <v>62</v>
      </c>
      <c r="P83" t="s">
        <v>1052</v>
      </c>
      <c r="Q83" s="5">
        <v>2.7</v>
      </c>
      <c r="S83" s="1">
        <v>62</v>
      </c>
      <c r="T83" s="367" t="s">
        <v>2131</v>
      </c>
      <c r="U83" s="1" t="s">
        <v>2179</v>
      </c>
      <c r="V83" s="16" t="s">
        <v>2192</v>
      </c>
      <c r="W83" s="367" t="s">
        <v>131</v>
      </c>
      <c r="X83" s="367" t="s">
        <v>112</v>
      </c>
      <c r="Y83" s="367">
        <v>1</v>
      </c>
      <c r="Z83" s="1">
        <v>0.45</v>
      </c>
      <c r="AA83" s="1" t="s">
        <v>112</v>
      </c>
      <c r="AC83" s="367">
        <f t="shared" si="5"/>
        <v>0.5</v>
      </c>
    </row>
    <row r="84" spans="1:29">
      <c r="A84" s="367">
        <v>63</v>
      </c>
      <c r="B84" s="367" t="s">
        <v>1810</v>
      </c>
      <c r="C84" s="367" t="s">
        <v>2037</v>
      </c>
      <c r="D84" s="1" t="s">
        <v>2028</v>
      </c>
      <c r="E84" s="1" t="s">
        <v>2028</v>
      </c>
      <c r="F84" s="297">
        <v>0.46300000000000002</v>
      </c>
      <c r="G84" s="297">
        <v>323.20999999999998</v>
      </c>
      <c r="H84" s="391">
        <f t="shared" si="6"/>
        <v>3.36</v>
      </c>
      <c r="I84" s="391">
        <f t="shared" si="7"/>
        <v>3.72</v>
      </c>
      <c r="J84" s="391">
        <f t="shared" si="8"/>
        <v>4.68</v>
      </c>
      <c r="K84" s="391">
        <f t="shared" si="9"/>
        <v>8.26</v>
      </c>
      <c r="O84" s="367">
        <v>63</v>
      </c>
      <c r="P84" t="s">
        <v>1033</v>
      </c>
      <c r="Q84" s="5">
        <v>3.1</v>
      </c>
      <c r="S84" s="1">
        <v>63</v>
      </c>
      <c r="T84" s="367" t="s">
        <v>2131</v>
      </c>
      <c r="U84" s="1" t="s">
        <v>2180</v>
      </c>
      <c r="V84" s="16" t="s">
        <v>2192</v>
      </c>
      <c r="W84" s="367" t="s">
        <v>133</v>
      </c>
      <c r="X84" s="367" t="s">
        <v>112</v>
      </c>
      <c r="Y84" s="367">
        <v>1</v>
      </c>
      <c r="Z84" s="1">
        <v>1</v>
      </c>
      <c r="AA84" s="1" t="s">
        <v>112</v>
      </c>
      <c r="AC84" s="367">
        <f t="shared" si="5"/>
        <v>1</v>
      </c>
    </row>
    <row r="85" spans="1:29">
      <c r="A85" s="367">
        <v>64</v>
      </c>
      <c r="B85" s="367" t="s">
        <v>1810</v>
      </c>
      <c r="C85" s="367" t="s">
        <v>2038</v>
      </c>
      <c r="D85" s="1" t="s">
        <v>2012</v>
      </c>
      <c r="E85" s="1" t="s">
        <v>2012</v>
      </c>
      <c r="F85" s="297">
        <v>0.252</v>
      </c>
      <c r="G85" s="297">
        <v>199.03</v>
      </c>
      <c r="H85" s="391">
        <f t="shared" si="6"/>
        <v>1.83</v>
      </c>
      <c r="I85" s="391">
        <f t="shared" si="7"/>
        <v>2.0299999999999998</v>
      </c>
      <c r="J85" s="391">
        <f t="shared" si="8"/>
        <v>2.66</v>
      </c>
      <c r="K85" s="391">
        <f t="shared" si="9"/>
        <v>4.8600000000000003</v>
      </c>
      <c r="O85" s="367">
        <v>64</v>
      </c>
      <c r="P85" t="s">
        <v>1053</v>
      </c>
      <c r="Q85" s="5">
        <v>3.6</v>
      </c>
      <c r="S85" s="1">
        <v>64</v>
      </c>
      <c r="T85" s="367" t="s">
        <v>2131</v>
      </c>
      <c r="U85" s="1" t="s">
        <v>2181</v>
      </c>
      <c r="V85" s="16" t="s">
        <v>2192</v>
      </c>
      <c r="W85" s="367" t="s">
        <v>134</v>
      </c>
      <c r="X85" s="367" t="s">
        <v>112</v>
      </c>
      <c r="Y85" s="367">
        <v>1</v>
      </c>
      <c r="Z85" s="1">
        <v>1</v>
      </c>
      <c r="AA85" s="1" t="s">
        <v>112</v>
      </c>
      <c r="AC85" s="367">
        <f t="shared" si="5"/>
        <v>1</v>
      </c>
    </row>
    <row r="86" spans="1:29">
      <c r="A86" s="367">
        <v>65</v>
      </c>
      <c r="B86" s="367" t="s">
        <v>1810</v>
      </c>
      <c r="C86" s="367" t="s">
        <v>2039</v>
      </c>
      <c r="D86" s="1" t="s">
        <v>2014</v>
      </c>
      <c r="E86" s="1" t="s">
        <v>2014</v>
      </c>
      <c r="F86" s="297">
        <v>0.19700000000000001</v>
      </c>
      <c r="G86" s="297">
        <v>139.33000000000001</v>
      </c>
      <c r="H86" s="391">
        <f t="shared" si="6"/>
        <v>1.43</v>
      </c>
      <c r="I86" s="391">
        <f t="shared" si="7"/>
        <v>1.58</v>
      </c>
      <c r="J86" s="391">
        <f t="shared" si="8"/>
        <v>2</v>
      </c>
      <c r="K86" s="391">
        <f t="shared" si="9"/>
        <v>3.54</v>
      </c>
      <c r="O86" s="367">
        <v>65</v>
      </c>
      <c r="P86" t="s">
        <v>1054</v>
      </c>
      <c r="Q86" s="5">
        <v>6.5</v>
      </c>
      <c r="S86" s="1">
        <v>65</v>
      </c>
      <c r="T86" s="367" t="s">
        <v>124</v>
      </c>
      <c r="U86" s="1" t="s">
        <v>2182</v>
      </c>
      <c r="V86" s="16" t="s">
        <v>2192</v>
      </c>
      <c r="W86" s="367" t="s">
        <v>124</v>
      </c>
      <c r="X86" s="367" t="s">
        <v>112</v>
      </c>
      <c r="Y86" s="367">
        <v>1</v>
      </c>
      <c r="Z86" s="1">
        <v>4.5</v>
      </c>
      <c r="AA86" s="1" t="s">
        <v>112</v>
      </c>
      <c r="AC86" s="367">
        <f t="shared" si="5"/>
        <v>4.5</v>
      </c>
    </row>
    <row r="87" spans="1:29">
      <c r="A87" s="367">
        <v>66</v>
      </c>
      <c r="B87" s="367" t="s">
        <v>1810</v>
      </c>
      <c r="C87" s="367" t="s">
        <v>2042</v>
      </c>
      <c r="D87" s="1" t="s">
        <v>2043</v>
      </c>
      <c r="E87" s="1" t="s">
        <v>2043</v>
      </c>
      <c r="F87" s="297">
        <v>0.14699999999999999</v>
      </c>
      <c r="G87" s="297">
        <v>115.29</v>
      </c>
      <c r="H87" s="391">
        <f t="shared" ref="H87:H150" si="10">IF($C87="","",ROUND((($B$2*$F87*($B$5/1000))/$B$6)*(1+IF($B$18="",0,$B$18)),2))</f>
        <v>1.07</v>
      </c>
      <c r="I87" s="391">
        <f t="shared" ref="I87:I150" si="11">IF($C87="","",ROUND((($B$3*$F87*($B$5/1000))/$B$6)*(1+IF($B$18="",0,$B$18)),2))</f>
        <v>1.18</v>
      </c>
      <c r="J87" s="391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1.54</v>
      </c>
      <c r="K87" s="391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2.82</v>
      </c>
      <c r="O87" s="367">
        <v>66</v>
      </c>
      <c r="P87" t="s">
        <v>1055</v>
      </c>
      <c r="Q87" s="5">
        <v>7</v>
      </c>
      <c r="S87" s="1">
        <v>66</v>
      </c>
      <c r="T87" s="367" t="s">
        <v>1869</v>
      </c>
      <c r="U87" s="1" t="s">
        <v>2183</v>
      </c>
      <c r="V87" s="16" t="s">
        <v>2192</v>
      </c>
      <c r="W87" s="367" t="s">
        <v>2184</v>
      </c>
      <c r="X87" s="367" t="s">
        <v>103</v>
      </c>
      <c r="Y87" s="367">
        <v>1</v>
      </c>
      <c r="Z87" s="1">
        <v>0.8</v>
      </c>
      <c r="AA87" s="1" t="s">
        <v>103</v>
      </c>
      <c r="AC87" s="367">
        <f t="shared" si="5"/>
        <v>0.8</v>
      </c>
    </row>
    <row r="88" spans="1:29">
      <c r="A88" s="367">
        <v>67</v>
      </c>
      <c r="B88" s="367" t="s">
        <v>1810</v>
      </c>
      <c r="C88" s="367" t="s">
        <v>2040</v>
      </c>
      <c r="D88" s="1" t="s">
        <v>2016</v>
      </c>
      <c r="E88" s="1" t="s">
        <v>2016</v>
      </c>
      <c r="F88" s="297">
        <v>0.214</v>
      </c>
      <c r="G88" s="297">
        <v>174.09</v>
      </c>
      <c r="H88" s="391">
        <f t="shared" si="10"/>
        <v>1.55</v>
      </c>
      <c r="I88" s="391">
        <f t="shared" si="11"/>
        <v>1.72</v>
      </c>
      <c r="J88" s="391">
        <f t="shared" si="12"/>
        <v>2.2799999999999998</v>
      </c>
      <c r="K88" s="391">
        <f t="shared" si="13"/>
        <v>4.21</v>
      </c>
      <c r="O88" s="367">
        <v>67</v>
      </c>
      <c r="P88" t="s">
        <v>1056</v>
      </c>
      <c r="Q88" s="5">
        <v>7.5</v>
      </c>
      <c r="S88" s="1">
        <v>67</v>
      </c>
      <c r="T88" s="367" t="s">
        <v>1869</v>
      </c>
      <c r="U88" s="1" t="s">
        <v>2185</v>
      </c>
      <c r="V88" s="16" t="s">
        <v>2192</v>
      </c>
      <c r="W88" s="367" t="s">
        <v>116</v>
      </c>
      <c r="X88" s="367" t="s">
        <v>103</v>
      </c>
      <c r="Y88" s="367">
        <v>1</v>
      </c>
      <c r="Z88" s="1">
        <v>0.4</v>
      </c>
      <c r="AA88" s="1" t="s">
        <v>103</v>
      </c>
      <c r="AC88" s="367">
        <f t="shared" si="5"/>
        <v>0.4</v>
      </c>
    </row>
    <row r="89" spans="1:29">
      <c r="A89" s="367">
        <v>68</v>
      </c>
      <c r="B89" s="367" t="s">
        <v>1810</v>
      </c>
      <c r="C89" s="367" t="s">
        <v>2062</v>
      </c>
      <c r="D89" s="1" t="s">
        <v>2061</v>
      </c>
      <c r="E89" s="1" t="s">
        <v>2061</v>
      </c>
      <c r="F89" s="297">
        <v>1.032</v>
      </c>
      <c r="G89" s="297">
        <v>367.62</v>
      </c>
      <c r="H89" s="391">
        <f t="shared" si="10"/>
        <v>7.48</v>
      </c>
      <c r="I89" s="391">
        <f t="shared" si="11"/>
        <v>8.2899999999999991</v>
      </c>
      <c r="J89" s="391">
        <f t="shared" si="12"/>
        <v>8.8000000000000007</v>
      </c>
      <c r="K89" s="391">
        <f t="shared" si="13"/>
        <v>12.87</v>
      </c>
      <c r="O89" s="367">
        <v>68</v>
      </c>
      <c r="P89" t="s">
        <v>1057</v>
      </c>
      <c r="Q89" s="5">
        <v>8</v>
      </c>
      <c r="S89" s="1">
        <v>68</v>
      </c>
      <c r="T89" s="367" t="s">
        <v>1869</v>
      </c>
      <c r="U89" s="1" t="s">
        <v>2186</v>
      </c>
      <c r="V89" s="16" t="s">
        <v>2192</v>
      </c>
      <c r="W89" s="367" t="s">
        <v>115</v>
      </c>
      <c r="X89" s="367" t="s">
        <v>103</v>
      </c>
      <c r="Y89" s="367">
        <v>1</v>
      </c>
      <c r="Z89" s="1">
        <v>0.4</v>
      </c>
      <c r="AA89" s="1" t="s">
        <v>103</v>
      </c>
      <c r="AC89" s="367">
        <f t="shared" si="5"/>
        <v>0.4</v>
      </c>
    </row>
    <row r="90" spans="1:29">
      <c r="A90" s="367">
        <v>69</v>
      </c>
      <c r="B90" s="367" t="s">
        <v>1810</v>
      </c>
      <c r="C90" s="367" t="s">
        <v>2065</v>
      </c>
      <c r="D90" s="1" t="s">
        <v>2066</v>
      </c>
      <c r="E90" s="1" t="s">
        <v>2066</v>
      </c>
      <c r="F90" s="297">
        <v>0.16200000000000001</v>
      </c>
      <c r="G90" s="297">
        <v>124.12</v>
      </c>
      <c r="H90" s="391">
        <f t="shared" si="10"/>
        <v>1.17</v>
      </c>
      <c r="I90" s="391">
        <f t="shared" si="11"/>
        <v>1.3</v>
      </c>
      <c r="J90" s="391">
        <f t="shared" si="12"/>
        <v>1.69</v>
      </c>
      <c r="K90" s="391">
        <f t="shared" si="13"/>
        <v>3.06</v>
      </c>
      <c r="O90" s="367">
        <v>69</v>
      </c>
      <c r="P90" t="s">
        <v>1058</v>
      </c>
      <c r="Q90" s="5">
        <v>8.5</v>
      </c>
      <c r="S90" s="1">
        <v>69</v>
      </c>
      <c r="T90" s="367" t="s">
        <v>334</v>
      </c>
      <c r="U90" s="1" t="s">
        <v>2187</v>
      </c>
      <c r="V90" s="16" t="s">
        <v>2192</v>
      </c>
      <c r="W90" s="367" t="s">
        <v>139</v>
      </c>
      <c r="X90" s="367" t="s">
        <v>112</v>
      </c>
      <c r="Y90" s="367">
        <v>1</v>
      </c>
      <c r="Z90" s="1">
        <v>12</v>
      </c>
      <c r="AA90" s="1" t="s">
        <v>112</v>
      </c>
      <c r="AC90" s="367">
        <f t="shared" si="5"/>
        <v>12</v>
      </c>
    </row>
    <row r="91" spans="1:29">
      <c r="A91" s="367">
        <v>70</v>
      </c>
      <c r="B91" s="1" t="s">
        <v>1810</v>
      </c>
      <c r="C91" s="1" t="s">
        <v>2076</v>
      </c>
      <c r="D91" s="1" t="s">
        <v>14</v>
      </c>
      <c r="E91" s="1" t="s">
        <v>14</v>
      </c>
      <c r="F91" s="297">
        <v>0.82199999999999995</v>
      </c>
      <c r="G91" s="297">
        <v>240.81</v>
      </c>
      <c r="H91" s="2">
        <f t="shared" si="10"/>
        <v>5.96</v>
      </c>
      <c r="I91" s="2">
        <f t="shared" si="11"/>
        <v>6.61</v>
      </c>
      <c r="J91" s="2">
        <f t="shared" si="12"/>
        <v>6.76</v>
      </c>
      <c r="K91" s="2">
        <f t="shared" si="13"/>
        <v>9.43</v>
      </c>
      <c r="O91" s="367">
        <v>70</v>
      </c>
      <c r="P91" t="s">
        <v>1059</v>
      </c>
      <c r="Q91" s="5">
        <v>9</v>
      </c>
      <c r="S91" s="1">
        <v>70</v>
      </c>
      <c r="T91" s="367" t="s">
        <v>1872</v>
      </c>
      <c r="U91" s="1" t="s">
        <v>2188</v>
      </c>
      <c r="V91" s="16" t="s">
        <v>2192</v>
      </c>
      <c r="W91" s="367" t="s">
        <v>135</v>
      </c>
      <c r="X91" s="367" t="s">
        <v>112</v>
      </c>
      <c r="Y91" s="367">
        <v>1</v>
      </c>
      <c r="Z91" s="1">
        <v>4</v>
      </c>
      <c r="AA91" s="1" t="s">
        <v>112</v>
      </c>
      <c r="AC91" s="367">
        <f t="shared" si="5"/>
        <v>4</v>
      </c>
    </row>
    <row r="92" spans="1:29">
      <c r="A92" s="367">
        <v>71</v>
      </c>
      <c r="B92" s="1" t="s">
        <v>1810</v>
      </c>
      <c r="C92" s="367" t="s">
        <v>2089</v>
      </c>
      <c r="D92" s="1" t="s">
        <v>2082</v>
      </c>
      <c r="E92" s="1" t="s">
        <v>2082</v>
      </c>
      <c r="F92" s="297">
        <v>1.867</v>
      </c>
      <c r="G92" s="297">
        <v>466.98</v>
      </c>
      <c r="H92" s="391">
        <f t="shared" si="10"/>
        <v>13.54</v>
      </c>
      <c r="I92" s="391">
        <f t="shared" si="11"/>
        <v>15.01</v>
      </c>
      <c r="J92" s="391">
        <f t="shared" si="12"/>
        <v>14.99</v>
      </c>
      <c r="K92" s="391">
        <f t="shared" si="13"/>
        <v>20.16</v>
      </c>
      <c r="O92" s="367">
        <v>71</v>
      </c>
      <c r="P92" t="s">
        <v>1060</v>
      </c>
      <c r="Q92" s="5">
        <v>25</v>
      </c>
      <c r="S92" s="1">
        <v>71</v>
      </c>
      <c r="T92" s="367" t="s">
        <v>336</v>
      </c>
      <c r="U92" s="1" t="s">
        <v>2189</v>
      </c>
      <c r="V92" s="16" t="s">
        <v>2192</v>
      </c>
      <c r="W92" s="367" t="s">
        <v>137</v>
      </c>
      <c r="X92" s="367" t="s">
        <v>112</v>
      </c>
      <c r="Y92" s="367">
        <v>1</v>
      </c>
      <c r="Z92" s="1">
        <v>1.8</v>
      </c>
      <c r="AA92" s="1" t="s">
        <v>112</v>
      </c>
      <c r="AC92" s="367">
        <f t="shared" si="5"/>
        <v>1.8</v>
      </c>
    </row>
    <row r="93" spans="1:29">
      <c r="A93" s="367">
        <v>72</v>
      </c>
      <c r="B93" s="1" t="s">
        <v>1810</v>
      </c>
      <c r="C93" s="367" t="s">
        <v>2090</v>
      </c>
      <c r="D93" s="1" t="s">
        <v>2083</v>
      </c>
      <c r="E93" s="1" t="s">
        <v>2083</v>
      </c>
      <c r="F93" s="297">
        <v>1.01</v>
      </c>
      <c r="G93" s="297">
        <v>220.54</v>
      </c>
      <c r="H93" s="391">
        <f t="shared" si="10"/>
        <v>7.32</v>
      </c>
      <c r="I93" s="391">
        <f t="shared" si="11"/>
        <v>8.1199999999999992</v>
      </c>
      <c r="J93" s="391">
        <f t="shared" si="12"/>
        <v>7.96</v>
      </c>
      <c r="K93" s="391">
        <f t="shared" si="13"/>
        <v>10.4</v>
      </c>
      <c r="O93" s="367">
        <v>72</v>
      </c>
      <c r="P93" t="s">
        <v>1061</v>
      </c>
      <c r="Q93" s="5">
        <v>26</v>
      </c>
      <c r="S93" s="1">
        <v>72</v>
      </c>
      <c r="T93" s="367" t="s">
        <v>336</v>
      </c>
      <c r="U93" s="1" t="s">
        <v>2190</v>
      </c>
      <c r="V93" s="16" t="s">
        <v>2192</v>
      </c>
      <c r="W93" s="367" t="s">
        <v>136</v>
      </c>
      <c r="X93" s="367" t="s">
        <v>112</v>
      </c>
      <c r="Y93" s="367">
        <v>1</v>
      </c>
      <c r="Z93" s="1">
        <v>1.8</v>
      </c>
      <c r="AA93" s="1" t="s">
        <v>112</v>
      </c>
      <c r="AC93" s="367">
        <f t="shared" si="5"/>
        <v>1.8</v>
      </c>
    </row>
    <row r="94" spans="1:29">
      <c r="A94" s="367">
        <v>73</v>
      </c>
      <c r="B94" s="1" t="s">
        <v>1810</v>
      </c>
      <c r="C94" s="367" t="s">
        <v>2091</v>
      </c>
      <c r="D94" s="1" t="s">
        <v>2084</v>
      </c>
      <c r="E94" s="1" t="s">
        <v>2084</v>
      </c>
      <c r="F94" s="297">
        <v>0.44700000000000001</v>
      </c>
      <c r="G94" s="297">
        <v>222.98</v>
      </c>
      <c r="H94" s="391">
        <f t="shared" si="10"/>
        <v>3.24</v>
      </c>
      <c r="I94" s="391">
        <f t="shared" si="11"/>
        <v>3.59</v>
      </c>
      <c r="J94" s="391">
        <f t="shared" si="12"/>
        <v>4.1100000000000003</v>
      </c>
      <c r="K94" s="391">
        <f t="shared" si="13"/>
        <v>6.57</v>
      </c>
      <c r="O94" s="367">
        <v>73</v>
      </c>
      <c r="P94" t="s">
        <v>1062</v>
      </c>
      <c r="Q94" s="5">
        <v>35</v>
      </c>
      <c r="S94" s="1">
        <v>73</v>
      </c>
      <c r="T94" s="367" t="s">
        <v>336</v>
      </c>
      <c r="U94" s="1" t="s">
        <v>2191</v>
      </c>
      <c r="V94" s="16" t="s">
        <v>2192</v>
      </c>
      <c r="W94" s="367" t="s">
        <v>138</v>
      </c>
      <c r="X94" s="367" t="s">
        <v>112</v>
      </c>
      <c r="Y94" s="367">
        <v>1</v>
      </c>
      <c r="Z94" s="1">
        <v>1.3</v>
      </c>
      <c r="AA94" s="1" t="s">
        <v>112</v>
      </c>
      <c r="AC94" s="367">
        <f t="shared" si="5"/>
        <v>1.3</v>
      </c>
    </row>
    <row r="95" spans="1:29">
      <c r="A95" s="367">
        <v>74</v>
      </c>
      <c r="B95" s="1" t="s">
        <v>1810</v>
      </c>
      <c r="C95" s="367" t="s">
        <v>2092</v>
      </c>
      <c r="D95" s="1" t="s">
        <v>2085</v>
      </c>
      <c r="E95" s="1" t="s">
        <v>2085</v>
      </c>
      <c r="F95" s="297">
        <v>0.76200000000000001</v>
      </c>
      <c r="G95" s="297">
        <v>252.14</v>
      </c>
      <c r="H95" s="391">
        <f t="shared" si="10"/>
        <v>5.53</v>
      </c>
      <c r="I95" s="391">
        <f t="shared" si="11"/>
        <v>6.12</v>
      </c>
      <c r="J95" s="391">
        <f t="shared" si="12"/>
        <v>6.4</v>
      </c>
      <c r="K95" s="391">
        <f t="shared" si="13"/>
        <v>9.1999999999999993</v>
      </c>
      <c r="O95" s="367">
        <v>74</v>
      </c>
      <c r="P95" t="s">
        <v>1063</v>
      </c>
      <c r="Q95" s="5">
        <v>36</v>
      </c>
      <c r="S95" s="1">
        <v>74</v>
      </c>
      <c r="T95" s="367" t="s">
        <v>1872</v>
      </c>
      <c r="U95" s="1" t="s">
        <v>2461</v>
      </c>
      <c r="V95" s="16" t="s">
        <v>2456</v>
      </c>
      <c r="W95" s="367" t="s">
        <v>2461</v>
      </c>
      <c r="X95" s="367" t="s">
        <v>111</v>
      </c>
      <c r="Y95" s="367">
        <v>1</v>
      </c>
      <c r="Z95" s="1">
        <v>12</v>
      </c>
      <c r="AA95" s="1" t="s">
        <v>111</v>
      </c>
      <c r="AC95" s="367">
        <v>12</v>
      </c>
    </row>
    <row r="96" spans="1:29">
      <c r="A96" s="367">
        <v>75</v>
      </c>
      <c r="B96" s="1" t="s">
        <v>1810</v>
      </c>
      <c r="C96" s="367" t="s">
        <v>2093</v>
      </c>
      <c r="D96" s="1" t="s">
        <v>2086</v>
      </c>
      <c r="E96" s="1" t="s">
        <v>2086</v>
      </c>
      <c r="F96" s="297">
        <v>0.95499999999999996</v>
      </c>
      <c r="G96" s="297">
        <v>283.45</v>
      </c>
      <c r="H96" s="391">
        <f t="shared" si="10"/>
        <v>6.93</v>
      </c>
      <c r="I96" s="391">
        <f t="shared" si="11"/>
        <v>7.68</v>
      </c>
      <c r="J96" s="391">
        <f t="shared" si="12"/>
        <v>7.88</v>
      </c>
      <c r="K96" s="391">
        <f t="shared" si="13"/>
        <v>11.01</v>
      </c>
      <c r="O96" s="367">
        <v>75</v>
      </c>
      <c r="P96" t="s">
        <v>1349</v>
      </c>
      <c r="Q96" s="5">
        <v>12</v>
      </c>
      <c r="S96" s="1">
        <v>75</v>
      </c>
      <c r="T96" s="367" t="s">
        <v>124</v>
      </c>
      <c r="U96" s="1" t="s">
        <v>2462</v>
      </c>
      <c r="V96" s="16" t="s">
        <v>2456</v>
      </c>
      <c r="W96" s="367" t="s">
        <v>2463</v>
      </c>
      <c r="X96" s="367" t="s">
        <v>111</v>
      </c>
      <c r="Y96" s="367">
        <v>1</v>
      </c>
      <c r="Z96" s="1">
        <v>85</v>
      </c>
      <c r="AA96" s="1" t="s">
        <v>111</v>
      </c>
      <c r="AC96" s="367">
        <v>85</v>
      </c>
    </row>
    <row r="97" spans="1:29">
      <c r="A97" s="367">
        <v>76</v>
      </c>
      <c r="B97" s="1" t="s">
        <v>1810</v>
      </c>
      <c r="C97" s="367" t="s">
        <v>2094</v>
      </c>
      <c r="D97" s="1" t="s">
        <v>2087</v>
      </c>
      <c r="E97" s="1" t="s">
        <v>2087</v>
      </c>
      <c r="F97" s="297">
        <v>0.125</v>
      </c>
      <c r="G97" s="297">
        <v>92.54</v>
      </c>
      <c r="H97" s="391">
        <f t="shared" si="10"/>
        <v>0.91</v>
      </c>
      <c r="I97" s="391">
        <f t="shared" si="11"/>
        <v>1</v>
      </c>
      <c r="J97" s="391">
        <f t="shared" si="12"/>
        <v>1.29</v>
      </c>
      <c r="K97" s="391">
        <f t="shared" si="13"/>
        <v>2.31</v>
      </c>
      <c r="O97" s="367">
        <v>76</v>
      </c>
      <c r="P97" t="s">
        <v>1064</v>
      </c>
      <c r="Q97" s="5">
        <v>3.5</v>
      </c>
      <c r="S97" s="1">
        <v>76</v>
      </c>
      <c r="T97" s="367" t="s">
        <v>334</v>
      </c>
      <c r="U97" s="1" t="s">
        <v>2464</v>
      </c>
      <c r="V97" s="16" t="s">
        <v>2456</v>
      </c>
      <c r="W97" s="367" t="s">
        <v>2465</v>
      </c>
      <c r="X97" s="367" t="s">
        <v>112</v>
      </c>
      <c r="Y97" s="367">
        <v>1</v>
      </c>
      <c r="Z97" s="1">
        <v>45</v>
      </c>
      <c r="AA97" s="1" t="s">
        <v>112</v>
      </c>
      <c r="AC97" s="367">
        <v>45</v>
      </c>
    </row>
    <row r="98" spans="1:29">
      <c r="A98" s="367">
        <v>77</v>
      </c>
      <c r="B98" s="1" t="s">
        <v>1810</v>
      </c>
      <c r="C98" s="367" t="s">
        <v>2095</v>
      </c>
      <c r="D98" s="1" t="s">
        <v>1843</v>
      </c>
      <c r="E98" s="1" t="s">
        <v>1843</v>
      </c>
      <c r="F98" s="297">
        <v>1.25</v>
      </c>
      <c r="G98" s="297">
        <v>329.22</v>
      </c>
      <c r="H98" s="391">
        <f t="shared" si="10"/>
        <v>9.07</v>
      </c>
      <c r="I98" s="391">
        <f t="shared" si="11"/>
        <v>10.050000000000001</v>
      </c>
      <c r="J98" s="391">
        <f t="shared" si="12"/>
        <v>10.11</v>
      </c>
      <c r="K98" s="391">
        <f t="shared" si="13"/>
        <v>13.76</v>
      </c>
      <c r="O98" s="367">
        <v>77</v>
      </c>
      <c r="P98" t="s">
        <v>1034</v>
      </c>
      <c r="Q98" s="5">
        <v>4.3</v>
      </c>
      <c r="S98" s="1">
        <v>77</v>
      </c>
      <c r="T98" s="367" t="s">
        <v>336</v>
      </c>
      <c r="U98" s="1" t="s">
        <v>2466</v>
      </c>
      <c r="V98" s="16" t="s">
        <v>2456</v>
      </c>
      <c r="W98" s="367" t="s">
        <v>2467</v>
      </c>
      <c r="X98" s="367" t="s">
        <v>112</v>
      </c>
      <c r="Y98" s="367">
        <v>1</v>
      </c>
      <c r="Z98" s="1">
        <v>12</v>
      </c>
      <c r="AA98" s="1" t="s">
        <v>112</v>
      </c>
      <c r="AC98" s="367">
        <v>12</v>
      </c>
    </row>
    <row r="99" spans="1:29">
      <c r="A99" s="367">
        <v>78</v>
      </c>
      <c r="B99" s="1" t="s">
        <v>1810</v>
      </c>
      <c r="C99" s="367" t="s">
        <v>2096</v>
      </c>
      <c r="D99" s="1" t="s">
        <v>304</v>
      </c>
      <c r="E99" s="1" t="s">
        <v>304</v>
      </c>
      <c r="F99" s="297">
        <v>0.35499999999999998</v>
      </c>
      <c r="G99" s="297">
        <v>188.54</v>
      </c>
      <c r="H99" s="391">
        <f t="shared" si="10"/>
        <v>2.57</v>
      </c>
      <c r="I99" s="391">
        <f t="shared" si="11"/>
        <v>2.85</v>
      </c>
      <c r="J99" s="391">
        <f t="shared" si="12"/>
        <v>3.31</v>
      </c>
      <c r="K99" s="391">
        <f t="shared" si="13"/>
        <v>5.4</v>
      </c>
      <c r="O99" s="367">
        <v>78</v>
      </c>
      <c r="P99" t="s">
        <v>1065</v>
      </c>
      <c r="Q99" s="5">
        <v>4.3</v>
      </c>
      <c r="S99" s="1">
        <v>78</v>
      </c>
      <c r="T99" s="367" t="s">
        <v>334</v>
      </c>
      <c r="U99" s="1" t="s">
        <v>2468</v>
      </c>
      <c r="V99" s="16" t="s">
        <v>2456</v>
      </c>
      <c r="W99" s="367" t="s">
        <v>2469</v>
      </c>
      <c r="X99" s="367" t="s">
        <v>112</v>
      </c>
      <c r="Y99" s="367">
        <v>1</v>
      </c>
      <c r="Z99" s="1">
        <v>18</v>
      </c>
      <c r="AA99" s="1" t="s">
        <v>112</v>
      </c>
      <c r="AC99" s="367">
        <v>18</v>
      </c>
    </row>
    <row r="100" spans="1:29">
      <c r="A100" s="367">
        <v>79</v>
      </c>
      <c r="B100" s="1" t="s">
        <v>1810</v>
      </c>
      <c r="C100" s="367" t="s">
        <v>2107</v>
      </c>
      <c r="D100" s="1" t="s">
        <v>2088</v>
      </c>
      <c r="E100" s="1" t="s">
        <v>2088</v>
      </c>
      <c r="F100" s="297">
        <v>0.14000000000000001</v>
      </c>
      <c r="G100" s="297">
        <v>49.97</v>
      </c>
      <c r="H100" s="391">
        <f t="shared" si="10"/>
        <v>1.02</v>
      </c>
      <c r="I100" s="391">
        <f t="shared" si="11"/>
        <v>1.1299999999999999</v>
      </c>
      <c r="J100" s="391">
        <f t="shared" si="12"/>
        <v>1.19</v>
      </c>
      <c r="K100" s="391">
        <f t="shared" si="13"/>
        <v>1.75</v>
      </c>
      <c r="O100" s="367">
        <v>79</v>
      </c>
      <c r="P100" t="s">
        <v>1035</v>
      </c>
      <c r="Q100" s="5">
        <v>5.2</v>
      </c>
      <c r="S100" s="1">
        <v>79</v>
      </c>
      <c r="T100" s="367" t="s">
        <v>336</v>
      </c>
      <c r="U100" s="1" t="s">
        <v>2470</v>
      </c>
      <c r="V100" s="16" t="s">
        <v>2456</v>
      </c>
      <c r="W100" s="367" t="s">
        <v>2471</v>
      </c>
      <c r="X100" s="367" t="s">
        <v>112</v>
      </c>
      <c r="Y100" s="367">
        <v>1</v>
      </c>
      <c r="Z100" s="1">
        <v>1.2</v>
      </c>
      <c r="AA100" s="1" t="s">
        <v>112</v>
      </c>
      <c r="AC100" s="367">
        <v>1.2</v>
      </c>
    </row>
    <row r="101" spans="1:29">
      <c r="A101" s="367">
        <v>80</v>
      </c>
      <c r="B101" s="1" t="s">
        <v>1810</v>
      </c>
      <c r="C101" s="367" t="s">
        <v>2097</v>
      </c>
      <c r="D101" s="1" t="s">
        <v>2082</v>
      </c>
      <c r="E101" s="1" t="s">
        <v>2082</v>
      </c>
      <c r="F101" s="297">
        <v>2.0329999999999999</v>
      </c>
      <c r="G101" s="297">
        <v>433.41</v>
      </c>
      <c r="H101" s="391">
        <f t="shared" si="10"/>
        <v>14.74</v>
      </c>
      <c r="I101" s="391">
        <f t="shared" si="11"/>
        <v>16.34</v>
      </c>
      <c r="J101" s="391">
        <f t="shared" si="12"/>
        <v>15.98</v>
      </c>
      <c r="K101" s="391">
        <f t="shared" si="13"/>
        <v>20.78</v>
      </c>
      <c r="O101" s="367">
        <v>80</v>
      </c>
      <c r="P101" t="s">
        <v>1036</v>
      </c>
      <c r="Q101" s="5">
        <v>6.2</v>
      </c>
      <c r="S101" s="1">
        <v>80</v>
      </c>
      <c r="T101" s="367" t="s">
        <v>336</v>
      </c>
      <c r="U101" s="1" t="s">
        <v>2472</v>
      </c>
      <c r="V101" s="16" t="s">
        <v>2456</v>
      </c>
      <c r="W101" s="367" t="s">
        <v>2473</v>
      </c>
      <c r="X101" s="367" t="s">
        <v>112</v>
      </c>
      <c r="Y101" s="367">
        <v>1</v>
      </c>
      <c r="Z101" s="1">
        <v>0.8</v>
      </c>
      <c r="AA101" s="1" t="s">
        <v>112</v>
      </c>
      <c r="AC101" s="367">
        <v>0.8</v>
      </c>
    </row>
    <row r="102" spans="1:29">
      <c r="A102" s="367">
        <v>81</v>
      </c>
      <c r="B102" s="1" t="s">
        <v>1810</v>
      </c>
      <c r="C102" s="367" t="s">
        <v>2098</v>
      </c>
      <c r="D102" s="1" t="s">
        <v>2085</v>
      </c>
      <c r="E102" s="1" t="s">
        <v>2085</v>
      </c>
      <c r="F102" s="297">
        <v>0.83199999999999996</v>
      </c>
      <c r="G102" s="297">
        <v>267.29000000000002</v>
      </c>
      <c r="H102" s="391">
        <f t="shared" si="10"/>
        <v>6.03</v>
      </c>
      <c r="I102" s="391">
        <f t="shared" si="11"/>
        <v>6.69</v>
      </c>
      <c r="J102" s="391">
        <f t="shared" si="12"/>
        <v>6.96</v>
      </c>
      <c r="K102" s="391">
        <f t="shared" si="13"/>
        <v>9.92</v>
      </c>
      <c r="O102" s="367">
        <v>81</v>
      </c>
      <c r="P102" t="s">
        <v>1066</v>
      </c>
      <c r="Q102" s="5">
        <v>7.5</v>
      </c>
      <c r="S102" s="1">
        <v>81</v>
      </c>
      <c r="T102" s="367" t="s">
        <v>2131</v>
      </c>
      <c r="U102" s="1" t="s">
        <v>2474</v>
      </c>
      <c r="V102" s="16" t="s">
        <v>2456</v>
      </c>
      <c r="W102" s="367" t="s">
        <v>2475</v>
      </c>
      <c r="X102" s="367" t="s">
        <v>112</v>
      </c>
      <c r="Y102" s="367">
        <v>1</v>
      </c>
      <c r="Z102" s="1">
        <v>1.3</v>
      </c>
      <c r="AA102" s="1" t="s">
        <v>112</v>
      </c>
      <c r="AC102" s="367">
        <v>1.3</v>
      </c>
    </row>
    <row r="103" spans="1:29">
      <c r="A103" s="367">
        <v>82</v>
      </c>
      <c r="B103" s="1" t="s">
        <v>1810</v>
      </c>
      <c r="C103" s="367" t="s">
        <v>2099</v>
      </c>
      <c r="D103" s="1" t="s">
        <v>2083</v>
      </c>
      <c r="E103" s="1" t="s">
        <v>2083</v>
      </c>
      <c r="F103" s="297">
        <v>0.90300000000000002</v>
      </c>
      <c r="G103" s="297">
        <v>277.10000000000002</v>
      </c>
      <c r="H103" s="391">
        <f t="shared" si="10"/>
        <v>6.55</v>
      </c>
      <c r="I103" s="391">
        <f t="shared" si="11"/>
        <v>7.26</v>
      </c>
      <c r="J103" s="391">
        <f t="shared" si="12"/>
        <v>7.49</v>
      </c>
      <c r="K103" s="391">
        <f t="shared" si="13"/>
        <v>10.56</v>
      </c>
      <c r="O103" s="367">
        <v>82</v>
      </c>
      <c r="P103" t="s">
        <v>1067</v>
      </c>
      <c r="Q103" s="5">
        <v>13</v>
      </c>
      <c r="S103" s="1">
        <v>82</v>
      </c>
      <c r="T103" s="367" t="s">
        <v>2131</v>
      </c>
      <c r="U103" s="1" t="s">
        <v>2476</v>
      </c>
      <c r="V103" s="16" t="s">
        <v>2456</v>
      </c>
      <c r="W103" s="367" t="s">
        <v>2477</v>
      </c>
      <c r="X103" s="367" t="s">
        <v>112</v>
      </c>
      <c r="Y103" s="367">
        <v>1</v>
      </c>
      <c r="Z103" s="1">
        <v>1.5</v>
      </c>
      <c r="AA103" s="1" t="s">
        <v>112</v>
      </c>
      <c r="AC103" s="367">
        <v>1.5</v>
      </c>
    </row>
    <row r="104" spans="1:29">
      <c r="A104" s="367">
        <v>83</v>
      </c>
      <c r="B104" s="1" t="s">
        <v>1810</v>
      </c>
      <c r="C104" s="367" t="s">
        <v>2100</v>
      </c>
      <c r="D104" s="1" t="s">
        <v>2101</v>
      </c>
      <c r="E104" s="1" t="s">
        <v>2101</v>
      </c>
      <c r="F104" s="297">
        <v>1.0620000000000001</v>
      </c>
      <c r="G104" s="297">
        <v>294.07</v>
      </c>
      <c r="H104" s="391">
        <f t="shared" si="10"/>
        <v>7.7</v>
      </c>
      <c r="I104" s="391">
        <f t="shared" si="11"/>
        <v>8.5399999999999991</v>
      </c>
      <c r="J104" s="391">
        <f t="shared" si="12"/>
        <v>8.66</v>
      </c>
      <c r="K104" s="391">
        <f t="shared" si="13"/>
        <v>11.92</v>
      </c>
      <c r="O104" s="367">
        <v>83</v>
      </c>
      <c r="P104" t="s">
        <v>1068</v>
      </c>
      <c r="Q104" s="5">
        <v>13.5</v>
      </c>
      <c r="S104" s="1">
        <v>83</v>
      </c>
      <c r="T104" s="367" t="s">
        <v>1869</v>
      </c>
      <c r="U104" s="1">
        <v>6980</v>
      </c>
      <c r="V104" s="16" t="s">
        <v>2456</v>
      </c>
      <c r="W104" s="367" t="s">
        <v>2478</v>
      </c>
      <c r="X104" s="367" t="s">
        <v>1876</v>
      </c>
      <c r="Y104" s="367">
        <v>501.96852000000001</v>
      </c>
      <c r="Z104" s="1">
        <v>100.393704</v>
      </c>
      <c r="AA104" s="1" t="s">
        <v>103</v>
      </c>
      <c r="AC104" s="367">
        <v>0.2</v>
      </c>
    </row>
    <row r="105" spans="1:29">
      <c r="A105" s="367">
        <v>84</v>
      </c>
      <c r="B105" s="1" t="s">
        <v>1810</v>
      </c>
      <c r="C105" s="367" t="s">
        <v>2102</v>
      </c>
      <c r="D105" s="1" t="s">
        <v>1843</v>
      </c>
      <c r="E105" s="1" t="s">
        <v>1843</v>
      </c>
      <c r="F105" s="297">
        <v>1.1299999999999999</v>
      </c>
      <c r="G105" s="297">
        <v>391.07</v>
      </c>
      <c r="H105" s="391">
        <f t="shared" si="10"/>
        <v>8.19</v>
      </c>
      <c r="I105" s="391">
        <f t="shared" si="11"/>
        <v>9.08</v>
      </c>
      <c r="J105" s="391">
        <f t="shared" si="12"/>
        <v>9.58</v>
      </c>
      <c r="K105" s="391">
        <f t="shared" si="13"/>
        <v>13.91</v>
      </c>
      <c r="O105" s="367">
        <v>84</v>
      </c>
      <c r="P105" t="s">
        <v>1069</v>
      </c>
      <c r="Q105" s="5">
        <v>15</v>
      </c>
      <c r="S105" s="1">
        <v>84</v>
      </c>
      <c r="T105" s="367" t="s">
        <v>1869</v>
      </c>
      <c r="U105" s="1">
        <v>2474</v>
      </c>
      <c r="V105" s="16" t="s">
        <v>2456</v>
      </c>
      <c r="W105" s="367" t="s">
        <v>2479</v>
      </c>
      <c r="X105" s="367" t="s">
        <v>1876</v>
      </c>
      <c r="Y105" s="367">
        <v>501.96852000000001</v>
      </c>
      <c r="Z105" s="1">
        <v>100.393704</v>
      </c>
      <c r="AA105" s="1" t="s">
        <v>103</v>
      </c>
      <c r="AC105" s="367">
        <v>0.2</v>
      </c>
    </row>
    <row r="106" spans="1:29">
      <c r="A106" s="367">
        <v>85</v>
      </c>
      <c r="B106" s="1" t="s">
        <v>1810</v>
      </c>
      <c r="C106" s="367" t="s">
        <v>2103</v>
      </c>
      <c r="D106" s="1" t="s">
        <v>2087</v>
      </c>
      <c r="E106" s="1" t="s">
        <v>2087</v>
      </c>
      <c r="F106" s="297">
        <v>0.23100000000000001</v>
      </c>
      <c r="G106" s="297">
        <v>169.79</v>
      </c>
      <c r="H106" s="391">
        <f t="shared" si="10"/>
        <v>1.68</v>
      </c>
      <c r="I106" s="391">
        <f t="shared" si="11"/>
        <v>1.86</v>
      </c>
      <c r="J106" s="391">
        <f t="shared" si="12"/>
        <v>2.38</v>
      </c>
      <c r="K106" s="391">
        <f t="shared" si="13"/>
        <v>4.25</v>
      </c>
      <c r="O106" s="367">
        <v>85</v>
      </c>
      <c r="P106" t="s">
        <v>1070</v>
      </c>
      <c r="Q106" s="5">
        <v>15.5</v>
      </c>
      <c r="S106" s="1" t="str">
        <v/>
      </c>
      <c r="AC106" s="367" t="str">
        <f t="shared" si="5"/>
        <v/>
      </c>
    </row>
    <row r="107" spans="1:29">
      <c r="A107" s="367">
        <v>86</v>
      </c>
      <c r="B107" s="1" t="s">
        <v>1810</v>
      </c>
      <c r="C107" s="367" t="s">
        <v>2104</v>
      </c>
      <c r="D107" s="1" t="s">
        <v>2105</v>
      </c>
      <c r="E107" s="1" t="s">
        <v>2105</v>
      </c>
      <c r="F107" s="297">
        <v>0.19900000000000001</v>
      </c>
      <c r="G107" s="297">
        <v>121.83</v>
      </c>
      <c r="H107" s="391">
        <f t="shared" si="10"/>
        <v>1.44</v>
      </c>
      <c r="I107" s="391">
        <f t="shared" si="11"/>
        <v>1.6</v>
      </c>
      <c r="J107" s="391">
        <f t="shared" si="12"/>
        <v>1.93</v>
      </c>
      <c r="K107" s="391">
        <f t="shared" si="13"/>
        <v>3.28</v>
      </c>
      <c r="O107" s="367">
        <v>86</v>
      </c>
      <c r="P107" t="s">
        <v>1071</v>
      </c>
      <c r="Q107" s="5">
        <v>16</v>
      </c>
      <c r="S107" s="1" t="str">
        <v/>
      </c>
      <c r="AC107" s="367" t="str">
        <f t="shared" si="5"/>
        <v/>
      </c>
    </row>
    <row r="108" spans="1:29">
      <c r="A108" s="367">
        <v>87</v>
      </c>
      <c r="B108" s="1" t="s">
        <v>1810</v>
      </c>
      <c r="C108" s="367" t="s">
        <v>2106</v>
      </c>
      <c r="D108" s="1" t="s">
        <v>304</v>
      </c>
      <c r="E108" s="1" t="s">
        <v>304</v>
      </c>
      <c r="F108" s="297">
        <v>0.36199999999999999</v>
      </c>
      <c r="G108" s="297">
        <v>220.18</v>
      </c>
      <c r="H108" s="391">
        <f t="shared" si="10"/>
        <v>2.63</v>
      </c>
      <c r="I108" s="391">
        <f t="shared" si="11"/>
        <v>2.91</v>
      </c>
      <c r="J108" s="391">
        <f t="shared" si="12"/>
        <v>3.51</v>
      </c>
      <c r="K108" s="391">
        <f t="shared" si="13"/>
        <v>5.95</v>
      </c>
      <c r="O108" s="367">
        <v>87</v>
      </c>
      <c r="P108" t="s">
        <v>1072</v>
      </c>
      <c r="Q108" s="5">
        <v>16.5</v>
      </c>
      <c r="S108" s="1" t="str">
        <v/>
      </c>
      <c r="AC108" s="367" t="str">
        <f t="shared" si="5"/>
        <v/>
      </c>
    </row>
    <row r="109" spans="1:29">
      <c r="A109" s="367">
        <v>88</v>
      </c>
      <c r="B109" s="1" t="s">
        <v>1810</v>
      </c>
      <c r="C109" s="367" t="s">
        <v>2168</v>
      </c>
      <c r="D109" s="1" t="s">
        <v>1811</v>
      </c>
      <c r="E109" s="1" t="s">
        <v>1811</v>
      </c>
      <c r="F109" s="297">
        <v>0.60099999999999998</v>
      </c>
      <c r="G109" s="297">
        <v>264.86</v>
      </c>
      <c r="H109" s="391">
        <f t="shared" si="10"/>
        <v>4.3600000000000003</v>
      </c>
      <c r="I109" s="391">
        <f t="shared" si="11"/>
        <v>4.83</v>
      </c>
      <c r="J109" s="391">
        <f t="shared" si="12"/>
        <v>5.36</v>
      </c>
      <c r="K109" s="391">
        <f t="shared" si="13"/>
        <v>8.2899999999999991</v>
      </c>
      <c r="O109" s="367">
        <v>88</v>
      </c>
      <c r="P109" t="s">
        <v>1037</v>
      </c>
      <c r="Q109" s="5">
        <v>4.5999999999999996</v>
      </c>
      <c r="S109" s="1" t="str">
        <v/>
      </c>
      <c r="AC109" s="367" t="str">
        <f t="shared" si="5"/>
        <v/>
      </c>
    </row>
    <row r="110" spans="1:29">
      <c r="A110" s="367">
        <v>89</v>
      </c>
      <c r="B110" s="1" t="s">
        <v>1810</v>
      </c>
      <c r="C110" s="367" t="s">
        <v>2169</v>
      </c>
      <c r="D110" s="1" t="s">
        <v>1844</v>
      </c>
      <c r="E110" s="1" t="s">
        <v>2177</v>
      </c>
      <c r="F110" s="297">
        <v>0.96499999999999997</v>
      </c>
      <c r="G110" s="297">
        <v>383.59</v>
      </c>
      <c r="H110" s="391">
        <f t="shared" si="10"/>
        <v>7</v>
      </c>
      <c r="I110" s="391">
        <f t="shared" si="11"/>
        <v>7.76</v>
      </c>
      <c r="J110" s="391">
        <f t="shared" si="12"/>
        <v>8.41</v>
      </c>
      <c r="K110" s="391">
        <f t="shared" si="13"/>
        <v>12.66</v>
      </c>
      <c r="O110" s="367">
        <v>89</v>
      </c>
      <c r="P110" t="s">
        <v>1073</v>
      </c>
      <c r="Q110" s="5">
        <v>5.4</v>
      </c>
      <c r="S110" s="1" t="str">
        <v/>
      </c>
      <c r="AC110" s="367" t="str">
        <f t="shared" si="5"/>
        <v/>
      </c>
    </row>
    <row r="111" spans="1:29">
      <c r="A111" s="367">
        <v>90</v>
      </c>
      <c r="B111" s="1" t="s">
        <v>1810</v>
      </c>
      <c r="C111" s="367" t="s">
        <v>2170</v>
      </c>
      <c r="D111" s="1" t="s">
        <v>114</v>
      </c>
      <c r="E111" s="1" t="s">
        <v>2174</v>
      </c>
      <c r="F111" s="297">
        <v>0.23100000000000001</v>
      </c>
      <c r="G111" s="297">
        <v>169.79</v>
      </c>
      <c r="H111" s="391">
        <f t="shared" si="10"/>
        <v>1.68</v>
      </c>
      <c r="I111" s="391">
        <f t="shared" si="11"/>
        <v>1.86</v>
      </c>
      <c r="J111" s="391">
        <f t="shared" si="12"/>
        <v>2.38</v>
      </c>
      <c r="K111" s="391">
        <f t="shared" si="13"/>
        <v>4.25</v>
      </c>
      <c r="O111" s="367">
        <v>90</v>
      </c>
      <c r="P111" t="s">
        <v>1074</v>
      </c>
      <c r="Q111" s="5">
        <v>9</v>
      </c>
      <c r="S111" s="1" t="str">
        <v/>
      </c>
      <c r="AC111" s="367" t="str">
        <f t="shared" si="5"/>
        <v/>
      </c>
    </row>
    <row r="112" spans="1:29">
      <c r="A112" s="367">
        <v>91</v>
      </c>
      <c r="B112" s="1" t="s">
        <v>1810</v>
      </c>
      <c r="C112" s="367" t="s">
        <v>2171</v>
      </c>
      <c r="D112" s="1" t="s">
        <v>1843</v>
      </c>
      <c r="E112" s="1" t="s">
        <v>2175</v>
      </c>
      <c r="F112" s="297">
        <v>0.97599999999999998</v>
      </c>
      <c r="G112" s="297">
        <v>49.24</v>
      </c>
      <c r="H112" s="391">
        <f t="shared" si="10"/>
        <v>7.08</v>
      </c>
      <c r="I112" s="391">
        <f t="shared" si="11"/>
        <v>7.84</v>
      </c>
      <c r="J112" s="391">
        <f t="shared" si="12"/>
        <v>6.93</v>
      </c>
      <c r="K112" s="391">
        <f t="shared" si="13"/>
        <v>7.48</v>
      </c>
      <c r="O112" s="367">
        <v>91</v>
      </c>
      <c r="P112" t="s">
        <v>1075</v>
      </c>
      <c r="Q112" s="5">
        <v>9.5</v>
      </c>
      <c r="S112" s="1" t="str">
        <v/>
      </c>
      <c r="AC112" s="367" t="str">
        <f t="shared" ref="AC112:AC175" si="14">IF($AB112&lt;&gt;"",$AB112,IFERROR(ROUNDUP($Z112/$Y112,1),""))</f>
        <v/>
      </c>
    </row>
    <row r="113" spans="1:29">
      <c r="A113" s="367">
        <v>92</v>
      </c>
      <c r="B113" s="1" t="s">
        <v>1810</v>
      </c>
      <c r="C113" s="367" t="s">
        <v>2172</v>
      </c>
      <c r="D113" s="1" t="s">
        <v>1844</v>
      </c>
      <c r="E113" s="1" t="s">
        <v>2178</v>
      </c>
      <c r="F113" s="297">
        <v>1.4259999999999999</v>
      </c>
      <c r="G113" s="297">
        <v>386.9</v>
      </c>
      <c r="H113" s="391">
        <f t="shared" si="10"/>
        <v>10.34</v>
      </c>
      <c r="I113" s="391">
        <f t="shared" si="11"/>
        <v>11.46</v>
      </c>
      <c r="J113" s="391">
        <f t="shared" si="12"/>
        <v>11.59</v>
      </c>
      <c r="K113" s="391">
        <f t="shared" si="13"/>
        <v>15.87</v>
      </c>
      <c r="O113" s="367">
        <v>92</v>
      </c>
      <c r="P113" t="s">
        <v>1076</v>
      </c>
      <c r="Q113" s="5">
        <v>10</v>
      </c>
      <c r="S113" s="1" t="str">
        <v/>
      </c>
      <c r="AC113" s="367" t="str">
        <f t="shared" si="14"/>
        <v/>
      </c>
    </row>
    <row r="114" spans="1:29">
      <c r="A114" s="367">
        <v>93</v>
      </c>
      <c r="B114" s="1" t="s">
        <v>1810</v>
      </c>
      <c r="C114" s="367" t="s">
        <v>2173</v>
      </c>
      <c r="D114" s="1" t="s">
        <v>1843</v>
      </c>
      <c r="E114" s="1" t="s">
        <v>2176</v>
      </c>
      <c r="F114" s="297">
        <v>0.96599999999999997</v>
      </c>
      <c r="G114" s="297">
        <v>462.13</v>
      </c>
      <c r="H114" s="391">
        <f t="shared" si="10"/>
        <v>7.01</v>
      </c>
      <c r="I114" s="391">
        <f t="shared" si="11"/>
        <v>7.76</v>
      </c>
      <c r="J114" s="391">
        <f t="shared" si="12"/>
        <v>8.7799999999999994</v>
      </c>
      <c r="K114" s="391">
        <f t="shared" si="13"/>
        <v>13.9</v>
      </c>
      <c r="O114" s="367">
        <v>93</v>
      </c>
      <c r="P114" t="s">
        <v>1077</v>
      </c>
      <c r="Q114" s="5">
        <v>10.5</v>
      </c>
      <c r="S114" s="1" t="str">
        <v/>
      </c>
      <c r="AC114" s="367" t="str">
        <f t="shared" si="14"/>
        <v/>
      </c>
    </row>
    <row r="115" spans="1:29">
      <c r="A115" s="367">
        <v>94</v>
      </c>
      <c r="B115" s="1" t="s">
        <v>1810</v>
      </c>
      <c r="C115" s="367" t="s">
        <v>2195</v>
      </c>
      <c r="D115" s="1" t="s">
        <v>2194</v>
      </c>
      <c r="E115" s="1" t="s">
        <v>2193</v>
      </c>
      <c r="F115" s="297">
        <v>0.76700000000000002</v>
      </c>
      <c r="G115" s="297">
        <v>317.39999999999998</v>
      </c>
      <c r="H115" s="391">
        <f t="shared" si="10"/>
        <v>5.56</v>
      </c>
      <c r="I115" s="391">
        <f t="shared" si="11"/>
        <v>6.16</v>
      </c>
      <c r="J115" s="391">
        <f t="shared" si="12"/>
        <v>6.74</v>
      </c>
      <c r="K115" s="391">
        <f t="shared" si="13"/>
        <v>10.26</v>
      </c>
      <c r="O115" s="367">
        <v>94</v>
      </c>
      <c r="P115" t="s">
        <v>1078</v>
      </c>
      <c r="Q115" s="5">
        <v>11</v>
      </c>
      <c r="S115" s="1" t="str">
        <v/>
      </c>
      <c r="AC115" s="367" t="str">
        <f t="shared" si="14"/>
        <v/>
      </c>
    </row>
    <row r="116" spans="1:29">
      <c r="A116" s="367">
        <v>95</v>
      </c>
      <c r="B116" s="367" t="s">
        <v>1810</v>
      </c>
      <c r="C116" s="367">
        <v>91715</v>
      </c>
      <c r="D116" s="1" t="s">
        <v>2456</v>
      </c>
      <c r="E116" s="1" t="s">
        <v>2457</v>
      </c>
      <c r="F116" s="297">
        <v>1.05</v>
      </c>
      <c r="G116" s="297">
        <v>327.99</v>
      </c>
      <c r="H116" s="391">
        <f t="shared" si="10"/>
        <v>7.61</v>
      </c>
      <c r="I116" s="391">
        <f t="shared" si="11"/>
        <v>8.44</v>
      </c>
      <c r="J116" s="391">
        <f t="shared" si="12"/>
        <v>8.73</v>
      </c>
      <c r="K116" s="391">
        <f t="shared" si="13"/>
        <v>12.37</v>
      </c>
      <c r="O116" s="367">
        <v>95</v>
      </c>
      <c r="P116" t="s">
        <v>1079</v>
      </c>
      <c r="Q116" s="5">
        <v>11.5</v>
      </c>
      <c r="S116" s="1" t="str">
        <v/>
      </c>
      <c r="AC116" s="367" t="str">
        <f t="shared" si="14"/>
        <v/>
      </c>
    </row>
    <row r="117" spans="1:29">
      <c r="A117" s="367">
        <v>96</v>
      </c>
      <c r="B117" s="367" t="s">
        <v>1810</v>
      </c>
      <c r="C117" s="367">
        <v>91713</v>
      </c>
      <c r="D117" s="1" t="s">
        <v>2456</v>
      </c>
      <c r="E117" s="1" t="s">
        <v>2458</v>
      </c>
      <c r="F117" s="297">
        <v>0.73899999999999999</v>
      </c>
      <c r="G117" s="297">
        <v>208.94</v>
      </c>
      <c r="H117" s="391">
        <f t="shared" si="10"/>
        <v>5.36</v>
      </c>
      <c r="I117" s="391">
        <f t="shared" si="11"/>
        <v>5.94</v>
      </c>
      <c r="J117" s="391">
        <f t="shared" si="12"/>
        <v>6.05</v>
      </c>
      <c r="K117" s="391">
        <f t="shared" si="13"/>
        <v>8.36</v>
      </c>
      <c r="O117" s="367">
        <v>96</v>
      </c>
      <c r="P117" t="s">
        <v>1038</v>
      </c>
      <c r="Q117" s="5">
        <v>5.7</v>
      </c>
      <c r="S117" s="1" t="str">
        <v/>
      </c>
      <c r="AC117" s="367" t="str">
        <f t="shared" si="14"/>
        <v/>
      </c>
    </row>
    <row r="118" spans="1:29">
      <c r="A118" s="367">
        <v>97</v>
      </c>
      <c r="B118" s="367" t="s">
        <v>1810</v>
      </c>
      <c r="C118" s="367">
        <v>91718</v>
      </c>
      <c r="D118" s="1" t="s">
        <v>2456</v>
      </c>
      <c r="E118" s="1" t="s">
        <v>2459</v>
      </c>
      <c r="F118" s="297">
        <v>0.125</v>
      </c>
      <c r="G118" s="297">
        <v>88.54</v>
      </c>
      <c r="H118" s="391">
        <f t="shared" si="10"/>
        <v>0.91</v>
      </c>
      <c r="I118" s="391">
        <f t="shared" si="11"/>
        <v>1</v>
      </c>
      <c r="J118" s="391">
        <f t="shared" si="12"/>
        <v>1.27</v>
      </c>
      <c r="K118" s="391">
        <f t="shared" si="13"/>
        <v>2.25</v>
      </c>
      <c r="O118" s="367">
        <v>97</v>
      </c>
      <c r="P118" t="s">
        <v>1080</v>
      </c>
      <c r="Q118" s="5">
        <v>7</v>
      </c>
      <c r="S118" s="1" t="str">
        <v/>
      </c>
      <c r="AC118" s="367" t="str">
        <f t="shared" si="14"/>
        <v/>
      </c>
    </row>
    <row r="119" spans="1:29">
      <c r="A119" s="367">
        <v>98</v>
      </c>
      <c r="B119" s="367" t="s">
        <v>1810</v>
      </c>
      <c r="C119" s="367">
        <v>91803</v>
      </c>
      <c r="D119" s="1" t="s">
        <v>2456</v>
      </c>
      <c r="E119" s="1" t="s">
        <v>2460</v>
      </c>
      <c r="F119" s="297">
        <v>0.871</v>
      </c>
      <c r="G119" s="297">
        <v>249.71</v>
      </c>
      <c r="H119" s="391">
        <f t="shared" si="10"/>
        <v>6.32</v>
      </c>
      <c r="I119" s="391">
        <f t="shared" si="11"/>
        <v>7</v>
      </c>
      <c r="J119" s="391">
        <f t="shared" si="12"/>
        <v>7.14</v>
      </c>
      <c r="K119" s="391">
        <f t="shared" si="13"/>
        <v>9.91</v>
      </c>
      <c r="O119" s="367">
        <v>98</v>
      </c>
      <c r="P119" t="s">
        <v>1039</v>
      </c>
      <c r="Q119" s="5">
        <v>7.6</v>
      </c>
      <c r="S119" s="1" t="str">
        <v/>
      </c>
      <c r="AC119" s="367" t="str">
        <f t="shared" si="14"/>
        <v/>
      </c>
    </row>
    <row r="120" spans="1:29">
      <c r="A120" s="367" t="str">
        <v/>
      </c>
      <c r="H120" s="391" t="str">
        <f t="shared" si="10"/>
        <v/>
      </c>
      <c r="I120" s="391" t="str">
        <f t="shared" si="11"/>
        <v/>
      </c>
      <c r="J120" s="391" t="str">
        <f t="shared" si="12"/>
        <v/>
      </c>
      <c r="K120" s="391" t="str">
        <f t="shared" si="13"/>
        <v/>
      </c>
      <c r="O120" s="367">
        <v>99</v>
      </c>
      <c r="P120" t="s">
        <v>1081</v>
      </c>
      <c r="Q120" s="5">
        <v>8.4</v>
      </c>
      <c r="S120" s="1" t="str">
        <v/>
      </c>
      <c r="AC120" s="367" t="str">
        <f t="shared" si="14"/>
        <v/>
      </c>
    </row>
    <row r="121" spans="1:29">
      <c r="A121" s="367" t="str">
        <v/>
      </c>
      <c r="H121" s="391" t="str">
        <f t="shared" si="10"/>
        <v/>
      </c>
      <c r="I121" s="391" t="str">
        <f t="shared" si="11"/>
        <v/>
      </c>
      <c r="J121" s="391" t="str">
        <f t="shared" si="12"/>
        <v/>
      </c>
      <c r="K121" s="391" t="str">
        <f t="shared" si="13"/>
        <v/>
      </c>
      <c r="O121" s="367">
        <v>100</v>
      </c>
      <c r="P121" t="s">
        <v>1040</v>
      </c>
      <c r="Q121" s="5">
        <v>6.2</v>
      </c>
      <c r="S121" s="1" t="str">
        <v/>
      </c>
      <c r="AC121" s="367" t="str">
        <f t="shared" si="14"/>
        <v/>
      </c>
    </row>
    <row r="122" spans="1:29">
      <c r="A122" s="367" t="str">
        <v/>
      </c>
      <c r="H122" s="391" t="str">
        <f t="shared" si="10"/>
        <v/>
      </c>
      <c r="I122" s="391" t="str">
        <f t="shared" si="11"/>
        <v/>
      </c>
      <c r="J122" s="391" t="str">
        <f t="shared" si="12"/>
        <v/>
      </c>
      <c r="K122" s="391" t="str">
        <f t="shared" si="13"/>
        <v/>
      </c>
      <c r="O122" s="367">
        <v>101</v>
      </c>
      <c r="P122" t="s">
        <v>1082</v>
      </c>
      <c r="Q122" s="5">
        <v>7.5</v>
      </c>
      <c r="S122" s="1" t="str">
        <v/>
      </c>
      <c r="AC122" s="367" t="str">
        <f t="shared" si="14"/>
        <v/>
      </c>
    </row>
    <row r="123" spans="1:29">
      <c r="A123" s="367" t="str">
        <v/>
      </c>
      <c r="H123" s="391" t="str">
        <f t="shared" si="10"/>
        <v/>
      </c>
      <c r="I123" s="391" t="str">
        <f t="shared" si="11"/>
        <v/>
      </c>
      <c r="J123" s="391" t="str">
        <f t="shared" si="12"/>
        <v/>
      </c>
      <c r="K123" s="391" t="str">
        <f t="shared" si="13"/>
        <v/>
      </c>
      <c r="O123" s="367">
        <v>102</v>
      </c>
      <c r="P123" t="s">
        <v>1083</v>
      </c>
      <c r="Q123" s="5">
        <v>13</v>
      </c>
      <c r="S123" s="1" t="str">
        <v/>
      </c>
      <c r="AC123" s="367" t="str">
        <f t="shared" si="14"/>
        <v/>
      </c>
    </row>
    <row r="124" spans="1:29">
      <c r="A124" s="367" t="str">
        <v/>
      </c>
      <c r="H124" s="391" t="str">
        <f t="shared" si="10"/>
        <v/>
      </c>
      <c r="I124" s="391" t="str">
        <f t="shared" si="11"/>
        <v/>
      </c>
      <c r="J124" s="391" t="str">
        <f t="shared" si="12"/>
        <v/>
      </c>
      <c r="K124" s="391" t="str">
        <f t="shared" si="13"/>
        <v/>
      </c>
      <c r="O124" s="367">
        <v>103</v>
      </c>
      <c r="P124" t="s">
        <v>1084</v>
      </c>
      <c r="Q124" s="5">
        <v>13.5</v>
      </c>
      <c r="S124" s="1" t="str">
        <v/>
      </c>
      <c r="AC124" s="367" t="str">
        <f t="shared" si="14"/>
        <v/>
      </c>
    </row>
    <row r="125" spans="1:29">
      <c r="A125" s="367" t="str">
        <v/>
      </c>
      <c r="H125" s="391" t="str">
        <f t="shared" si="10"/>
        <v/>
      </c>
      <c r="I125" s="391" t="str">
        <f t="shared" si="11"/>
        <v/>
      </c>
      <c r="J125" s="391" t="str">
        <f t="shared" si="12"/>
        <v/>
      </c>
      <c r="K125" s="391" t="str">
        <f t="shared" si="13"/>
        <v/>
      </c>
      <c r="O125" s="367">
        <v>104</v>
      </c>
      <c r="P125" t="s">
        <v>1085</v>
      </c>
      <c r="Q125" s="5">
        <v>15</v>
      </c>
      <c r="S125" s="1" t="str">
        <v/>
      </c>
      <c r="AC125" s="367" t="str">
        <f t="shared" si="14"/>
        <v/>
      </c>
    </row>
    <row r="126" spans="1:29">
      <c r="A126" s="367" t="str">
        <v/>
      </c>
      <c r="H126" s="391" t="str">
        <f t="shared" si="10"/>
        <v/>
      </c>
      <c r="I126" s="391" t="str">
        <f t="shared" si="11"/>
        <v/>
      </c>
      <c r="J126" s="391" t="str">
        <f t="shared" si="12"/>
        <v/>
      </c>
      <c r="K126" s="391" t="str">
        <f t="shared" si="13"/>
        <v/>
      </c>
      <c r="O126" s="367">
        <v>105</v>
      </c>
      <c r="P126" t="s">
        <v>1086</v>
      </c>
      <c r="Q126" s="5">
        <v>15.5</v>
      </c>
      <c r="S126" s="1" t="str">
        <v/>
      </c>
      <c r="AC126" s="367" t="str">
        <f t="shared" si="14"/>
        <v/>
      </c>
    </row>
    <row r="127" spans="1:29">
      <c r="A127" s="367" t="str">
        <v/>
      </c>
      <c r="H127" s="391" t="str">
        <f t="shared" si="10"/>
        <v/>
      </c>
      <c r="I127" s="391" t="str">
        <f t="shared" si="11"/>
        <v/>
      </c>
      <c r="J127" s="391" t="str">
        <f t="shared" si="12"/>
        <v/>
      </c>
      <c r="K127" s="391" t="str">
        <f t="shared" si="13"/>
        <v/>
      </c>
      <c r="O127" s="367">
        <v>106</v>
      </c>
      <c r="P127" t="s">
        <v>1087</v>
      </c>
      <c r="Q127" s="5">
        <v>16</v>
      </c>
      <c r="S127" s="1" t="str">
        <v/>
      </c>
      <c r="AC127" s="367" t="str">
        <f t="shared" si="14"/>
        <v/>
      </c>
    </row>
    <row r="128" spans="1:29">
      <c r="A128" s="367" t="str">
        <v/>
      </c>
      <c r="H128" s="391" t="str">
        <f t="shared" si="10"/>
        <v/>
      </c>
      <c r="I128" s="391" t="str">
        <f t="shared" si="11"/>
        <v/>
      </c>
      <c r="J128" s="391" t="str">
        <f t="shared" si="12"/>
        <v/>
      </c>
      <c r="K128" s="391" t="str">
        <f t="shared" si="13"/>
        <v/>
      </c>
      <c r="O128" s="367">
        <v>107</v>
      </c>
      <c r="P128" t="s">
        <v>1088</v>
      </c>
      <c r="Q128" s="5">
        <v>16.5</v>
      </c>
      <c r="S128" s="1" t="str">
        <v/>
      </c>
      <c r="AC128" s="367" t="str">
        <f t="shared" si="14"/>
        <v/>
      </c>
    </row>
    <row r="129" spans="1:29">
      <c r="A129" s="367" t="str">
        <v/>
      </c>
      <c r="H129" s="391" t="str">
        <f t="shared" si="10"/>
        <v/>
      </c>
      <c r="I129" s="391" t="str">
        <f t="shared" si="11"/>
        <v/>
      </c>
      <c r="J129" s="391" t="str">
        <f t="shared" si="12"/>
        <v/>
      </c>
      <c r="K129" s="391" t="str">
        <f t="shared" si="13"/>
        <v/>
      </c>
      <c r="O129" s="367">
        <v>108</v>
      </c>
      <c r="P129" t="s">
        <v>1041</v>
      </c>
      <c r="Q129" s="5">
        <v>4.5</v>
      </c>
      <c r="S129" s="1" t="str">
        <v/>
      </c>
      <c r="AC129" s="367" t="str">
        <f t="shared" si="14"/>
        <v/>
      </c>
    </row>
    <row r="130" spans="1:29">
      <c r="A130" s="367" t="str">
        <v/>
      </c>
      <c r="H130" s="391" t="str">
        <f t="shared" si="10"/>
        <v/>
      </c>
      <c r="I130" s="391" t="str">
        <f t="shared" si="11"/>
        <v/>
      </c>
      <c r="J130" s="391" t="str">
        <f t="shared" si="12"/>
        <v/>
      </c>
      <c r="K130" s="391" t="str">
        <f t="shared" si="13"/>
        <v/>
      </c>
      <c r="O130" s="367">
        <v>109</v>
      </c>
      <c r="P130" t="s">
        <v>1089</v>
      </c>
      <c r="Q130" s="5">
        <v>6.5</v>
      </c>
      <c r="S130" s="1" t="str">
        <v/>
      </c>
      <c r="AC130" s="367" t="str">
        <f t="shared" si="14"/>
        <v/>
      </c>
    </row>
    <row r="131" spans="1:29">
      <c r="A131" s="367" t="str">
        <v/>
      </c>
      <c r="H131" s="391" t="str">
        <f t="shared" si="10"/>
        <v/>
      </c>
      <c r="I131" s="391" t="str">
        <f t="shared" si="11"/>
        <v/>
      </c>
      <c r="J131" s="391" t="str">
        <f t="shared" si="12"/>
        <v/>
      </c>
      <c r="K131" s="391" t="str">
        <f t="shared" si="13"/>
        <v/>
      </c>
      <c r="O131" s="367">
        <v>110</v>
      </c>
      <c r="P131" t="s">
        <v>1090</v>
      </c>
      <c r="Q131" s="5">
        <v>6</v>
      </c>
      <c r="S131" s="1" t="str">
        <v/>
      </c>
      <c r="AC131" s="367" t="str">
        <f t="shared" si="14"/>
        <v/>
      </c>
    </row>
    <row r="132" spans="1:29">
      <c r="A132" s="367" t="str">
        <v/>
      </c>
      <c r="H132" s="391" t="str">
        <f t="shared" si="10"/>
        <v/>
      </c>
      <c r="I132" s="391" t="str">
        <f t="shared" si="11"/>
        <v/>
      </c>
      <c r="J132" s="391" t="str">
        <f t="shared" si="12"/>
        <v/>
      </c>
      <c r="K132" s="391" t="str">
        <f t="shared" si="13"/>
        <v/>
      </c>
      <c r="O132" s="367">
        <v>111</v>
      </c>
      <c r="P132" t="s">
        <v>1091</v>
      </c>
      <c r="Q132" s="5">
        <v>7.4</v>
      </c>
      <c r="S132" s="1" t="str">
        <v/>
      </c>
      <c r="AC132" s="367" t="str">
        <f t="shared" si="14"/>
        <v/>
      </c>
    </row>
    <row r="133" spans="1:29">
      <c r="A133" s="367" t="str">
        <v/>
      </c>
      <c r="H133" s="391" t="str">
        <f t="shared" si="10"/>
        <v/>
      </c>
      <c r="I133" s="391" t="str">
        <f t="shared" si="11"/>
        <v/>
      </c>
      <c r="J133" s="391" t="str">
        <f t="shared" si="12"/>
        <v/>
      </c>
      <c r="K133" s="391" t="str">
        <f t="shared" si="13"/>
        <v/>
      </c>
      <c r="O133" s="367">
        <v>112</v>
      </c>
      <c r="P133" t="s">
        <v>1042</v>
      </c>
      <c r="Q133" s="5">
        <v>9.5</v>
      </c>
      <c r="S133" s="1" t="str">
        <v/>
      </c>
      <c r="AC133" s="367" t="str">
        <f t="shared" si="14"/>
        <v/>
      </c>
    </row>
    <row r="134" spans="1:29">
      <c r="A134" s="367" t="str">
        <v/>
      </c>
      <c r="H134" s="391" t="str">
        <f t="shared" si="10"/>
        <v/>
      </c>
      <c r="I134" s="391" t="str">
        <f t="shared" si="11"/>
        <v/>
      </c>
      <c r="J134" s="391" t="str">
        <f t="shared" si="12"/>
        <v/>
      </c>
      <c r="K134" s="391" t="str">
        <f t="shared" si="13"/>
        <v/>
      </c>
      <c r="O134" s="367">
        <v>113</v>
      </c>
      <c r="P134" t="s">
        <v>1350</v>
      </c>
      <c r="Q134" s="5">
        <v>14</v>
      </c>
      <c r="S134" s="1" t="str">
        <v/>
      </c>
      <c r="AC134" s="367" t="str">
        <f t="shared" si="14"/>
        <v/>
      </c>
    </row>
    <row r="135" spans="1:29">
      <c r="A135" s="367" t="str">
        <v/>
      </c>
      <c r="H135" s="391" t="str">
        <f t="shared" si="10"/>
        <v/>
      </c>
      <c r="I135" s="391" t="str">
        <f t="shared" si="11"/>
        <v/>
      </c>
      <c r="J135" s="391" t="str">
        <f t="shared" si="12"/>
        <v/>
      </c>
      <c r="K135" s="391" t="str">
        <f t="shared" si="13"/>
        <v/>
      </c>
      <c r="O135" s="367">
        <v>114</v>
      </c>
      <c r="P135" t="s">
        <v>1092</v>
      </c>
      <c r="Q135" s="5">
        <v>11</v>
      </c>
      <c r="S135" s="1" t="str">
        <v/>
      </c>
      <c r="AC135" s="367" t="str">
        <f t="shared" si="14"/>
        <v/>
      </c>
    </row>
    <row r="136" spans="1:29">
      <c r="A136" s="367" t="str">
        <v/>
      </c>
      <c r="H136" s="391" t="str">
        <f t="shared" si="10"/>
        <v/>
      </c>
      <c r="I136" s="391" t="str">
        <f t="shared" si="11"/>
        <v/>
      </c>
      <c r="J136" s="391" t="str">
        <f t="shared" si="12"/>
        <v/>
      </c>
      <c r="K136" s="391" t="str">
        <f t="shared" si="13"/>
        <v/>
      </c>
      <c r="O136" s="367">
        <v>115</v>
      </c>
      <c r="P136" t="s">
        <v>1093</v>
      </c>
      <c r="Q136" s="5">
        <v>18.5</v>
      </c>
      <c r="S136" s="1" t="str">
        <v/>
      </c>
      <c r="AC136" s="367" t="str">
        <f t="shared" si="14"/>
        <v/>
      </c>
    </row>
    <row r="137" spans="1:29">
      <c r="A137" s="367" t="str">
        <v/>
      </c>
      <c r="H137" s="391" t="str">
        <f t="shared" si="10"/>
        <v/>
      </c>
      <c r="I137" s="391" t="str">
        <f t="shared" si="11"/>
        <v/>
      </c>
      <c r="J137" s="391" t="str">
        <f t="shared" si="12"/>
        <v/>
      </c>
      <c r="K137" s="391" t="str">
        <f t="shared" si="13"/>
        <v/>
      </c>
      <c r="O137" s="367">
        <v>116</v>
      </c>
      <c r="P137" t="s">
        <v>1094</v>
      </c>
      <c r="Q137" s="5">
        <v>19</v>
      </c>
      <c r="S137" s="1" t="str">
        <v/>
      </c>
      <c r="AC137" s="367" t="str">
        <f t="shared" si="14"/>
        <v/>
      </c>
    </row>
    <row r="138" spans="1:29">
      <c r="A138" s="367" t="str">
        <v/>
      </c>
      <c r="H138" s="391" t="str">
        <f t="shared" si="10"/>
        <v/>
      </c>
      <c r="I138" s="391" t="str">
        <f t="shared" si="11"/>
        <v/>
      </c>
      <c r="J138" s="391" t="str">
        <f t="shared" si="12"/>
        <v/>
      </c>
      <c r="K138" s="391" t="str">
        <f t="shared" si="13"/>
        <v/>
      </c>
      <c r="O138" s="367">
        <v>117</v>
      </c>
      <c r="P138" t="s">
        <v>1095</v>
      </c>
      <c r="Q138" s="5">
        <v>20.5</v>
      </c>
      <c r="S138" s="1" t="str">
        <v/>
      </c>
      <c r="AC138" s="367" t="str">
        <f t="shared" si="14"/>
        <v/>
      </c>
    </row>
    <row r="139" spans="1:29">
      <c r="A139" s="367" t="str">
        <v/>
      </c>
      <c r="H139" s="391" t="str">
        <f t="shared" si="10"/>
        <v/>
      </c>
      <c r="I139" s="391" t="str">
        <f t="shared" si="11"/>
        <v/>
      </c>
      <c r="J139" s="391" t="str">
        <f t="shared" si="12"/>
        <v/>
      </c>
      <c r="K139" s="391" t="str">
        <f t="shared" si="13"/>
        <v/>
      </c>
      <c r="O139" s="367">
        <v>118</v>
      </c>
      <c r="P139" t="s">
        <v>1096</v>
      </c>
      <c r="Q139" s="5">
        <v>21</v>
      </c>
      <c r="S139" s="1" t="str">
        <v/>
      </c>
      <c r="AC139" s="367" t="str">
        <f t="shared" si="14"/>
        <v/>
      </c>
    </row>
    <row r="140" spans="1:29">
      <c r="A140" s="367" t="str">
        <v/>
      </c>
      <c r="H140" s="391" t="str">
        <f t="shared" si="10"/>
        <v/>
      </c>
      <c r="I140" s="391" t="str">
        <f t="shared" si="11"/>
        <v/>
      </c>
      <c r="J140" s="391" t="str">
        <f t="shared" si="12"/>
        <v/>
      </c>
      <c r="K140" s="391" t="str">
        <f t="shared" si="13"/>
        <v/>
      </c>
      <c r="O140" s="367">
        <v>119</v>
      </c>
      <c r="P140" t="s">
        <v>1097</v>
      </c>
      <c r="Q140" s="5">
        <v>22.5</v>
      </c>
      <c r="S140" s="1" t="str">
        <v/>
      </c>
      <c r="AC140" s="367" t="str">
        <f t="shared" si="14"/>
        <v/>
      </c>
    </row>
    <row r="141" spans="1:29">
      <c r="A141" s="367" t="str">
        <v/>
      </c>
      <c r="H141" s="391" t="str">
        <f t="shared" si="10"/>
        <v/>
      </c>
      <c r="I141" s="391" t="str">
        <f t="shared" si="11"/>
        <v/>
      </c>
      <c r="J141" s="391" t="str">
        <f t="shared" si="12"/>
        <v/>
      </c>
      <c r="K141" s="391" t="str">
        <f t="shared" si="13"/>
        <v/>
      </c>
      <c r="O141" s="367">
        <v>120</v>
      </c>
      <c r="P141" t="s">
        <v>1098</v>
      </c>
      <c r="Q141" s="5">
        <v>23</v>
      </c>
      <c r="S141" s="1" t="str">
        <v/>
      </c>
      <c r="AC141" s="367" t="str">
        <f t="shared" si="14"/>
        <v/>
      </c>
    </row>
    <row r="142" spans="1:29">
      <c r="A142" s="367" t="str">
        <v/>
      </c>
      <c r="H142" s="391" t="str">
        <f t="shared" si="10"/>
        <v/>
      </c>
      <c r="I142" s="391" t="str">
        <f t="shared" si="11"/>
        <v/>
      </c>
      <c r="J142" s="391" t="str">
        <f t="shared" si="12"/>
        <v/>
      </c>
      <c r="K142" s="391" t="str">
        <f t="shared" si="13"/>
        <v/>
      </c>
      <c r="O142" s="367">
        <v>121</v>
      </c>
      <c r="P142" t="s">
        <v>1099</v>
      </c>
      <c r="Q142" s="5">
        <v>47</v>
      </c>
      <c r="S142" s="1" t="str">
        <v/>
      </c>
      <c r="AC142" s="367" t="str">
        <f t="shared" si="14"/>
        <v/>
      </c>
    </row>
    <row r="143" spans="1:29">
      <c r="A143" s="367" t="str">
        <v/>
      </c>
      <c r="H143" s="391" t="str">
        <f t="shared" si="10"/>
        <v/>
      </c>
      <c r="I143" s="391" t="str">
        <f t="shared" si="11"/>
        <v/>
      </c>
      <c r="J143" s="391" t="str">
        <f t="shared" si="12"/>
        <v/>
      </c>
      <c r="K143" s="391" t="str">
        <f t="shared" si="13"/>
        <v/>
      </c>
      <c r="O143" s="367">
        <v>122</v>
      </c>
      <c r="P143" t="s">
        <v>1100</v>
      </c>
      <c r="Q143" s="5">
        <v>48</v>
      </c>
      <c r="S143" s="1" t="str">
        <v/>
      </c>
      <c r="AC143" s="367" t="str">
        <f t="shared" si="14"/>
        <v/>
      </c>
    </row>
    <row r="144" spans="1:29">
      <c r="A144" s="367" t="str">
        <v/>
      </c>
      <c r="H144" s="391" t="str">
        <f t="shared" si="10"/>
        <v/>
      </c>
      <c r="I144" s="391" t="str">
        <f t="shared" si="11"/>
        <v/>
      </c>
      <c r="J144" s="391" t="str">
        <f t="shared" si="12"/>
        <v/>
      </c>
      <c r="K144" s="391" t="str">
        <f t="shared" si="13"/>
        <v/>
      </c>
      <c r="O144" s="367">
        <v>123</v>
      </c>
      <c r="P144" t="s">
        <v>1101</v>
      </c>
      <c r="Q144" s="5">
        <v>52</v>
      </c>
      <c r="S144" s="1" t="str">
        <v/>
      </c>
      <c r="AC144" s="367" t="str">
        <f t="shared" si="14"/>
        <v/>
      </c>
    </row>
    <row r="145" spans="1:29">
      <c r="A145" s="367" t="str">
        <v/>
      </c>
      <c r="H145" s="391" t="str">
        <f t="shared" si="10"/>
        <v/>
      </c>
      <c r="I145" s="391" t="str">
        <f t="shared" si="11"/>
        <v/>
      </c>
      <c r="J145" s="391" t="str">
        <f t="shared" si="12"/>
        <v/>
      </c>
      <c r="K145" s="391" t="str">
        <f t="shared" si="13"/>
        <v/>
      </c>
      <c r="O145" s="367">
        <v>124</v>
      </c>
      <c r="P145" t="s">
        <v>1102</v>
      </c>
      <c r="Q145" s="5">
        <v>53</v>
      </c>
      <c r="S145" s="1" t="str">
        <v/>
      </c>
      <c r="AC145" s="367" t="str">
        <f t="shared" si="14"/>
        <v/>
      </c>
    </row>
    <row r="146" spans="1:29">
      <c r="A146" s="367" t="str">
        <v/>
      </c>
      <c r="H146" s="391" t="str">
        <f t="shared" si="10"/>
        <v/>
      </c>
      <c r="I146" s="391" t="str">
        <f t="shared" si="11"/>
        <v/>
      </c>
      <c r="J146" s="391" t="str">
        <f t="shared" si="12"/>
        <v/>
      </c>
      <c r="K146" s="391" t="str">
        <f t="shared" si="13"/>
        <v/>
      </c>
      <c r="O146" s="367">
        <v>125</v>
      </c>
      <c r="P146" t="s">
        <v>1043</v>
      </c>
      <c r="Q146" s="5">
        <v>15</v>
      </c>
      <c r="S146" s="1" t="str">
        <v/>
      </c>
      <c r="AC146" s="367" t="str">
        <f t="shared" si="14"/>
        <v/>
      </c>
    </row>
    <row r="147" spans="1:29">
      <c r="A147" s="367" t="str">
        <v/>
      </c>
      <c r="H147" s="391" t="str">
        <f t="shared" si="10"/>
        <v/>
      </c>
      <c r="I147" s="391" t="str">
        <f t="shared" si="11"/>
        <v/>
      </c>
      <c r="J147" s="391" t="str">
        <f t="shared" si="12"/>
        <v/>
      </c>
      <c r="K147" s="391" t="str">
        <f t="shared" si="13"/>
        <v/>
      </c>
      <c r="O147" s="367">
        <v>126</v>
      </c>
      <c r="P147" t="s">
        <v>1103</v>
      </c>
      <c r="Q147" s="5">
        <v>16</v>
      </c>
      <c r="S147" s="1" t="str">
        <v/>
      </c>
      <c r="AC147" s="367" t="str">
        <f t="shared" si="14"/>
        <v/>
      </c>
    </row>
    <row r="148" spans="1:29">
      <c r="A148" s="367" t="str">
        <v/>
      </c>
      <c r="H148" s="391" t="str">
        <f t="shared" si="10"/>
        <v/>
      </c>
      <c r="I148" s="391" t="str">
        <f t="shared" si="11"/>
        <v/>
      </c>
      <c r="J148" s="391" t="str">
        <f t="shared" si="12"/>
        <v/>
      </c>
      <c r="K148" s="391" t="str">
        <f t="shared" si="13"/>
        <v/>
      </c>
      <c r="O148" s="367">
        <v>127</v>
      </c>
      <c r="P148" t="s">
        <v>1044</v>
      </c>
      <c r="Q148" s="5">
        <v>15</v>
      </c>
      <c r="S148" s="1" t="str">
        <v/>
      </c>
      <c r="AC148" s="367" t="str">
        <f t="shared" si="14"/>
        <v/>
      </c>
    </row>
    <row r="149" spans="1:29">
      <c r="A149" s="367" t="str">
        <v/>
      </c>
      <c r="H149" s="391" t="str">
        <f t="shared" si="10"/>
        <v/>
      </c>
      <c r="I149" s="391" t="str">
        <f t="shared" si="11"/>
        <v/>
      </c>
      <c r="J149" s="391" t="str">
        <f t="shared" si="12"/>
        <v/>
      </c>
      <c r="K149" s="391" t="str">
        <f t="shared" si="13"/>
        <v/>
      </c>
      <c r="O149" s="367">
        <v>128</v>
      </c>
      <c r="P149" t="s">
        <v>1104</v>
      </c>
      <c r="Q149" s="5">
        <v>16</v>
      </c>
      <c r="S149" s="1" t="str">
        <v/>
      </c>
      <c r="AC149" s="367" t="str">
        <f t="shared" si="14"/>
        <v/>
      </c>
    </row>
    <row r="150" spans="1:29">
      <c r="A150" s="367" t="str">
        <v/>
      </c>
      <c r="H150" s="391" t="str">
        <f t="shared" si="10"/>
        <v/>
      </c>
      <c r="I150" s="391" t="str">
        <f t="shared" si="11"/>
        <v/>
      </c>
      <c r="J150" s="391" t="str">
        <f t="shared" si="12"/>
        <v/>
      </c>
      <c r="K150" s="391" t="str">
        <f t="shared" si="13"/>
        <v/>
      </c>
      <c r="O150" s="367">
        <v>129</v>
      </c>
      <c r="P150" t="s">
        <v>1045</v>
      </c>
      <c r="Q150" s="5">
        <v>16</v>
      </c>
      <c r="S150" s="1" t="str">
        <v/>
      </c>
      <c r="AC150" s="367" t="str">
        <f t="shared" si="14"/>
        <v/>
      </c>
    </row>
    <row r="151" spans="1:29">
      <c r="A151" s="367" t="str">
        <v/>
      </c>
      <c r="H151" s="391" t="str">
        <f t="shared" ref="H151:H214" si="15">IF($C151="","",ROUND((($B$2*$F151*($B$5/1000))/$B$6)*(1+IF($B$18="",0,$B$18)),2))</f>
        <v/>
      </c>
      <c r="I151" s="391" t="str">
        <f t="shared" ref="I151:I214" si="16">IF($C151="","",ROUND((($B$3*$F151*($B$5/1000))/$B$6)*(1+IF($B$18="",0,$B$18)),2))</f>
        <v/>
      </c>
      <c r="J151" s="391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1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7">
        <v>130</v>
      </c>
      <c r="P151" t="s">
        <v>1046</v>
      </c>
      <c r="Q151" s="5">
        <v>16</v>
      </c>
      <c r="S151" s="1" t="str">
        <v/>
      </c>
      <c r="AC151" s="367" t="str">
        <f t="shared" si="14"/>
        <v/>
      </c>
    </row>
    <row r="152" spans="1:29">
      <c r="A152" s="367" t="str">
        <v/>
      </c>
      <c r="H152" s="391" t="str">
        <f t="shared" si="15"/>
        <v/>
      </c>
      <c r="I152" s="391" t="str">
        <f t="shared" si="16"/>
        <v/>
      </c>
      <c r="J152" s="391" t="str">
        <f t="shared" si="17"/>
        <v/>
      </c>
      <c r="K152" s="391" t="str">
        <f t="shared" si="18"/>
        <v/>
      </c>
      <c r="O152" s="367">
        <v>131</v>
      </c>
      <c r="P152" t="s">
        <v>1047</v>
      </c>
      <c r="Q152" s="5">
        <v>17.5</v>
      </c>
      <c r="S152" s="1" t="str">
        <v/>
      </c>
      <c r="AC152" s="367" t="str">
        <f t="shared" si="14"/>
        <v/>
      </c>
    </row>
    <row r="153" spans="1:29">
      <c r="A153" s="367" t="str">
        <v/>
      </c>
      <c r="H153" s="391" t="str">
        <f t="shared" si="15"/>
        <v/>
      </c>
      <c r="I153" s="391" t="str">
        <f t="shared" si="16"/>
        <v/>
      </c>
      <c r="J153" s="391" t="str">
        <f t="shared" si="17"/>
        <v/>
      </c>
      <c r="K153" s="391" t="str">
        <f t="shared" si="18"/>
        <v/>
      </c>
      <c r="O153" s="367">
        <v>132</v>
      </c>
      <c r="P153" t="s">
        <v>1336</v>
      </c>
      <c r="Q153" s="5">
        <v>6.8</v>
      </c>
      <c r="S153" s="1" t="str">
        <v/>
      </c>
      <c r="AC153" s="367" t="str">
        <f t="shared" si="14"/>
        <v/>
      </c>
    </row>
    <row r="154" spans="1:29">
      <c r="A154" s="367" t="str">
        <v/>
      </c>
      <c r="H154" s="391" t="str">
        <f t="shared" si="15"/>
        <v/>
      </c>
      <c r="I154" s="391" t="str">
        <f t="shared" si="16"/>
        <v/>
      </c>
      <c r="J154" s="391" t="str">
        <f t="shared" si="17"/>
        <v/>
      </c>
      <c r="K154" s="391" t="str">
        <f t="shared" si="18"/>
        <v/>
      </c>
      <c r="O154" s="367">
        <v>133</v>
      </c>
      <c r="P154" t="s">
        <v>1337</v>
      </c>
      <c r="Q154" s="5">
        <v>7.5</v>
      </c>
      <c r="S154" s="1" t="str">
        <v/>
      </c>
      <c r="AC154" s="367" t="str">
        <f t="shared" si="14"/>
        <v/>
      </c>
    </row>
    <row r="155" spans="1:29">
      <c r="A155" s="367" t="str">
        <v/>
      </c>
      <c r="H155" s="391" t="str">
        <f t="shared" si="15"/>
        <v/>
      </c>
      <c r="I155" s="391" t="str">
        <f t="shared" si="16"/>
        <v/>
      </c>
      <c r="J155" s="391" t="str">
        <f t="shared" si="17"/>
        <v/>
      </c>
      <c r="K155" s="391" t="str">
        <f t="shared" si="18"/>
        <v/>
      </c>
      <c r="O155" s="367">
        <v>134</v>
      </c>
      <c r="P155" t="s">
        <v>1338</v>
      </c>
      <c r="Q155" s="5">
        <v>8.3000000000000007</v>
      </c>
      <c r="S155" s="1" t="str">
        <v/>
      </c>
      <c r="AC155" s="367" t="str">
        <f t="shared" si="14"/>
        <v/>
      </c>
    </row>
    <row r="156" spans="1:29">
      <c r="A156" s="367" t="str">
        <v/>
      </c>
      <c r="H156" s="391" t="str">
        <f t="shared" si="15"/>
        <v/>
      </c>
      <c r="I156" s="391" t="str">
        <f t="shared" si="16"/>
        <v/>
      </c>
      <c r="J156" s="391" t="str">
        <f t="shared" si="17"/>
        <v/>
      </c>
      <c r="K156" s="391" t="str">
        <f t="shared" si="18"/>
        <v/>
      </c>
      <c r="O156" s="367">
        <v>135</v>
      </c>
      <c r="P156" t="s">
        <v>1105</v>
      </c>
      <c r="Q156" s="5">
        <v>10.5</v>
      </c>
      <c r="S156" s="1" t="str">
        <v/>
      </c>
      <c r="AC156" s="367" t="str">
        <f t="shared" si="14"/>
        <v/>
      </c>
    </row>
    <row r="157" spans="1:29">
      <c r="A157" s="367" t="str">
        <v/>
      </c>
      <c r="H157" s="391" t="str">
        <f t="shared" si="15"/>
        <v/>
      </c>
      <c r="I157" s="391" t="str">
        <f t="shared" si="16"/>
        <v/>
      </c>
      <c r="J157" s="391" t="str">
        <f t="shared" si="17"/>
        <v/>
      </c>
      <c r="K157" s="391" t="str">
        <f t="shared" si="18"/>
        <v/>
      </c>
      <c r="O157" s="367">
        <v>136</v>
      </c>
      <c r="P157" t="s">
        <v>1048</v>
      </c>
      <c r="Q157" s="5">
        <v>11.5</v>
      </c>
      <c r="S157" s="1" t="str">
        <v/>
      </c>
      <c r="AC157" s="367" t="str">
        <f t="shared" si="14"/>
        <v/>
      </c>
    </row>
    <row r="158" spans="1:29">
      <c r="A158" s="367" t="str">
        <v/>
      </c>
      <c r="H158" s="391" t="str">
        <f t="shared" si="15"/>
        <v/>
      </c>
      <c r="I158" s="391" t="str">
        <f t="shared" si="16"/>
        <v/>
      </c>
      <c r="J158" s="391" t="str">
        <f t="shared" si="17"/>
        <v/>
      </c>
      <c r="K158" s="391" t="str">
        <f t="shared" si="18"/>
        <v/>
      </c>
      <c r="O158" s="367">
        <v>137</v>
      </c>
      <c r="P158" t="s">
        <v>1106</v>
      </c>
      <c r="Q158" s="5">
        <v>10.5</v>
      </c>
      <c r="S158" s="1" t="str">
        <v/>
      </c>
      <c r="AC158" s="367" t="str">
        <f t="shared" si="14"/>
        <v/>
      </c>
    </row>
    <row r="159" spans="1:29">
      <c r="A159" s="367" t="str">
        <v/>
      </c>
      <c r="H159" s="391" t="str">
        <f t="shared" si="15"/>
        <v/>
      </c>
      <c r="I159" s="391" t="str">
        <f t="shared" si="16"/>
        <v/>
      </c>
      <c r="J159" s="391" t="str">
        <f t="shared" si="17"/>
        <v/>
      </c>
      <c r="K159" s="391" t="str">
        <f t="shared" si="18"/>
        <v/>
      </c>
      <c r="O159" s="367">
        <v>138</v>
      </c>
      <c r="P159" t="s">
        <v>1049</v>
      </c>
      <c r="Q159" s="5">
        <v>11.5</v>
      </c>
      <c r="S159" s="1" t="str">
        <v/>
      </c>
      <c r="AC159" s="367" t="str">
        <f t="shared" si="14"/>
        <v/>
      </c>
    </row>
    <row r="160" spans="1:29">
      <c r="A160" s="367" t="str">
        <v/>
      </c>
      <c r="H160" s="391" t="str">
        <f t="shared" si="15"/>
        <v/>
      </c>
      <c r="I160" s="391" t="str">
        <f t="shared" si="16"/>
        <v/>
      </c>
      <c r="J160" s="391" t="str">
        <f t="shared" si="17"/>
        <v/>
      </c>
      <c r="K160" s="391" t="str">
        <f t="shared" si="18"/>
        <v/>
      </c>
      <c r="O160" s="367">
        <v>139</v>
      </c>
      <c r="P160" t="s">
        <v>1107</v>
      </c>
      <c r="Q160" s="5">
        <v>10.5</v>
      </c>
      <c r="S160" s="1" t="str">
        <v/>
      </c>
      <c r="AC160" s="367" t="str">
        <f t="shared" si="14"/>
        <v/>
      </c>
    </row>
    <row r="161" spans="1:29">
      <c r="A161" s="367" t="str">
        <v/>
      </c>
      <c r="H161" s="391" t="str">
        <f t="shared" si="15"/>
        <v/>
      </c>
      <c r="I161" s="391" t="str">
        <f t="shared" si="16"/>
        <v/>
      </c>
      <c r="J161" s="391" t="str">
        <f t="shared" si="17"/>
        <v/>
      </c>
      <c r="K161" s="391" t="str">
        <f t="shared" si="18"/>
        <v/>
      </c>
      <c r="O161" s="367">
        <v>140</v>
      </c>
      <c r="P161" t="s">
        <v>1050</v>
      </c>
      <c r="Q161" s="5">
        <v>11.5</v>
      </c>
      <c r="S161" s="1" t="str">
        <v/>
      </c>
      <c r="AC161" s="367" t="str">
        <f t="shared" si="14"/>
        <v/>
      </c>
    </row>
    <row r="162" spans="1:29">
      <c r="A162" s="367" t="str">
        <v/>
      </c>
      <c r="H162" s="391" t="str">
        <f t="shared" si="15"/>
        <v/>
      </c>
      <c r="I162" s="391" t="str">
        <f t="shared" si="16"/>
        <v/>
      </c>
      <c r="J162" s="391" t="str">
        <f t="shared" si="17"/>
        <v/>
      </c>
      <c r="K162" s="391" t="str">
        <f t="shared" si="18"/>
        <v/>
      </c>
      <c r="O162" s="367">
        <v>141</v>
      </c>
      <c r="P162" t="s">
        <v>1184</v>
      </c>
      <c r="Q162" s="5">
        <v>7.7</v>
      </c>
      <c r="S162" s="1" t="str">
        <v/>
      </c>
      <c r="AC162" s="367" t="str">
        <f t="shared" si="14"/>
        <v/>
      </c>
    </row>
    <row r="163" spans="1:29">
      <c r="A163" s="367" t="str">
        <v/>
      </c>
      <c r="H163" s="391" t="str">
        <f t="shared" si="15"/>
        <v/>
      </c>
      <c r="I163" s="391" t="str">
        <f t="shared" si="16"/>
        <v/>
      </c>
      <c r="J163" s="391" t="str">
        <f t="shared" si="17"/>
        <v/>
      </c>
      <c r="K163" s="391" t="str">
        <f t="shared" si="18"/>
        <v/>
      </c>
      <c r="O163" s="367">
        <v>142</v>
      </c>
      <c r="P163" t="s">
        <v>1185</v>
      </c>
      <c r="Q163" s="5">
        <v>8.25</v>
      </c>
      <c r="S163" s="1" t="str">
        <v/>
      </c>
      <c r="AC163" s="367" t="str">
        <f t="shared" si="14"/>
        <v/>
      </c>
    </row>
    <row r="164" spans="1:29">
      <c r="A164" s="367" t="str">
        <v/>
      </c>
      <c r="H164" s="391" t="str">
        <f t="shared" si="15"/>
        <v/>
      </c>
      <c r="I164" s="391" t="str">
        <f t="shared" si="16"/>
        <v/>
      </c>
      <c r="J164" s="391" t="str">
        <f t="shared" si="17"/>
        <v/>
      </c>
      <c r="K164" s="391" t="str">
        <f t="shared" si="18"/>
        <v/>
      </c>
      <c r="O164" s="367">
        <v>143</v>
      </c>
      <c r="P164" t="s">
        <v>1186</v>
      </c>
      <c r="Q164" s="5">
        <v>8.8000000000000007</v>
      </c>
      <c r="S164" s="1" t="str">
        <v/>
      </c>
      <c r="AC164" s="367" t="str">
        <f t="shared" si="14"/>
        <v/>
      </c>
    </row>
    <row r="165" spans="1:29">
      <c r="A165" s="367" t="str">
        <v/>
      </c>
      <c r="H165" s="391" t="str">
        <f t="shared" si="15"/>
        <v/>
      </c>
      <c r="I165" s="391" t="str">
        <f t="shared" si="16"/>
        <v/>
      </c>
      <c r="J165" s="391" t="str">
        <f t="shared" si="17"/>
        <v/>
      </c>
      <c r="K165" s="391" t="str">
        <f t="shared" si="18"/>
        <v/>
      </c>
      <c r="O165" s="367">
        <v>144</v>
      </c>
      <c r="P165" t="s">
        <v>1187</v>
      </c>
      <c r="Q165" s="5">
        <v>9.9</v>
      </c>
      <c r="S165" s="1" t="str">
        <v/>
      </c>
      <c r="AC165" s="367" t="str">
        <f t="shared" si="14"/>
        <v/>
      </c>
    </row>
    <row r="166" spans="1:29">
      <c r="A166" s="367" t="str">
        <v/>
      </c>
      <c r="H166" s="391" t="str">
        <f t="shared" si="15"/>
        <v/>
      </c>
      <c r="I166" s="391" t="str">
        <f t="shared" si="16"/>
        <v/>
      </c>
      <c r="J166" s="391" t="str">
        <f t="shared" si="17"/>
        <v/>
      </c>
      <c r="K166" s="391" t="str">
        <f t="shared" si="18"/>
        <v/>
      </c>
      <c r="O166" s="367">
        <v>145</v>
      </c>
      <c r="P166" t="s">
        <v>1188</v>
      </c>
      <c r="Q166" s="5">
        <v>11</v>
      </c>
      <c r="S166" s="1" t="str">
        <v/>
      </c>
      <c r="AC166" s="367" t="str">
        <f t="shared" si="14"/>
        <v/>
      </c>
    </row>
    <row r="167" spans="1:29">
      <c r="A167" s="367" t="str">
        <v/>
      </c>
      <c r="H167" s="391" t="str">
        <f t="shared" si="15"/>
        <v/>
      </c>
      <c r="I167" s="391" t="str">
        <f t="shared" si="16"/>
        <v/>
      </c>
      <c r="J167" s="391" t="str">
        <f t="shared" si="17"/>
        <v/>
      </c>
      <c r="K167" s="391" t="str">
        <f t="shared" si="18"/>
        <v/>
      </c>
      <c r="O167" s="367">
        <v>146</v>
      </c>
      <c r="P167" t="s">
        <v>1189</v>
      </c>
      <c r="Q167" s="5">
        <v>12.1</v>
      </c>
      <c r="S167" s="1" t="str">
        <v/>
      </c>
      <c r="AC167" s="367" t="str">
        <f t="shared" si="14"/>
        <v/>
      </c>
    </row>
    <row r="168" spans="1:29">
      <c r="A168" s="367" t="str">
        <v/>
      </c>
      <c r="H168" s="391" t="str">
        <f t="shared" si="15"/>
        <v/>
      </c>
      <c r="I168" s="391" t="str">
        <f t="shared" si="16"/>
        <v/>
      </c>
      <c r="J168" s="391" t="str">
        <f t="shared" si="17"/>
        <v/>
      </c>
      <c r="K168" s="391" t="str">
        <f t="shared" si="18"/>
        <v/>
      </c>
      <c r="O168" s="367">
        <v>147</v>
      </c>
      <c r="P168" t="s">
        <v>1190</v>
      </c>
      <c r="Q168" s="5">
        <v>31.9</v>
      </c>
      <c r="S168" s="1" t="str">
        <v/>
      </c>
      <c r="AC168" s="367" t="str">
        <f t="shared" si="14"/>
        <v/>
      </c>
    </row>
    <row r="169" spans="1:29">
      <c r="A169" s="367" t="str">
        <v/>
      </c>
      <c r="H169" s="391" t="str">
        <f t="shared" si="15"/>
        <v/>
      </c>
      <c r="I169" s="391" t="str">
        <f t="shared" si="16"/>
        <v/>
      </c>
      <c r="J169" s="391" t="str">
        <f t="shared" si="17"/>
        <v/>
      </c>
      <c r="K169" s="391" t="str">
        <f t="shared" si="18"/>
        <v/>
      </c>
      <c r="O169" s="367">
        <v>148</v>
      </c>
      <c r="P169" t="s">
        <v>1191</v>
      </c>
      <c r="Q169" s="5">
        <v>42.9</v>
      </c>
      <c r="S169" s="1" t="str">
        <v/>
      </c>
      <c r="AC169" s="367" t="str">
        <f t="shared" si="14"/>
        <v/>
      </c>
    </row>
    <row r="170" spans="1:29">
      <c r="A170" s="367" t="str">
        <v/>
      </c>
      <c r="H170" s="391" t="str">
        <f t="shared" si="15"/>
        <v/>
      </c>
      <c r="I170" s="391" t="str">
        <f t="shared" si="16"/>
        <v/>
      </c>
      <c r="J170" s="391" t="str">
        <f t="shared" si="17"/>
        <v/>
      </c>
      <c r="K170" s="391" t="str">
        <f t="shared" si="18"/>
        <v/>
      </c>
      <c r="O170" s="367">
        <v>149</v>
      </c>
      <c r="P170" t="s">
        <v>1192</v>
      </c>
      <c r="Q170" s="5">
        <v>11.39</v>
      </c>
      <c r="S170" s="1" t="str">
        <v/>
      </c>
      <c r="AC170" s="367" t="str">
        <f t="shared" si="14"/>
        <v/>
      </c>
    </row>
    <row r="171" spans="1:29">
      <c r="A171" s="367" t="str">
        <v/>
      </c>
      <c r="H171" s="391" t="str">
        <f t="shared" si="15"/>
        <v/>
      </c>
      <c r="I171" s="391" t="str">
        <f t="shared" si="16"/>
        <v/>
      </c>
      <c r="J171" s="391" t="str">
        <f t="shared" si="17"/>
        <v/>
      </c>
      <c r="K171" s="391" t="str">
        <f t="shared" si="18"/>
        <v/>
      </c>
      <c r="O171" s="367">
        <v>150</v>
      </c>
      <c r="P171" t="s">
        <v>1193</v>
      </c>
      <c r="Q171" s="5">
        <v>12.6</v>
      </c>
      <c r="S171" s="1" t="str">
        <v/>
      </c>
      <c r="AC171" s="367" t="str">
        <f t="shared" si="14"/>
        <v/>
      </c>
    </row>
    <row r="172" spans="1:29">
      <c r="A172" s="367" t="str">
        <v/>
      </c>
      <c r="H172" s="391" t="str">
        <f t="shared" si="15"/>
        <v/>
      </c>
      <c r="I172" s="391" t="str">
        <f t="shared" si="16"/>
        <v/>
      </c>
      <c r="J172" s="391" t="str">
        <f t="shared" si="17"/>
        <v/>
      </c>
      <c r="K172" s="391" t="str">
        <f t="shared" si="18"/>
        <v/>
      </c>
      <c r="O172" s="367">
        <v>151</v>
      </c>
      <c r="P172" t="s">
        <v>1194</v>
      </c>
      <c r="Q172" s="5">
        <v>18.649999999999999</v>
      </c>
      <c r="S172" s="1" t="str">
        <v/>
      </c>
      <c r="AC172" s="367" t="str">
        <f t="shared" si="14"/>
        <v/>
      </c>
    </row>
    <row r="173" spans="1:29">
      <c r="A173" s="367" t="str">
        <v/>
      </c>
      <c r="H173" s="391" t="str">
        <f t="shared" si="15"/>
        <v/>
      </c>
      <c r="I173" s="391" t="str">
        <f t="shared" si="16"/>
        <v/>
      </c>
      <c r="J173" s="391" t="str">
        <f t="shared" si="17"/>
        <v/>
      </c>
      <c r="K173" s="391" t="str">
        <f t="shared" si="18"/>
        <v/>
      </c>
      <c r="O173" s="367">
        <v>152</v>
      </c>
      <c r="P173" t="s">
        <v>1195</v>
      </c>
      <c r="Q173" s="5">
        <v>21.07</v>
      </c>
      <c r="S173" s="1" t="str">
        <v/>
      </c>
      <c r="AC173" s="367" t="str">
        <f t="shared" si="14"/>
        <v/>
      </c>
    </row>
    <row r="174" spans="1:29">
      <c r="A174" s="367" t="str">
        <v/>
      </c>
      <c r="H174" s="391" t="str">
        <f t="shared" si="15"/>
        <v/>
      </c>
      <c r="I174" s="391" t="str">
        <f t="shared" si="16"/>
        <v/>
      </c>
      <c r="J174" s="391" t="str">
        <f t="shared" si="17"/>
        <v/>
      </c>
      <c r="K174" s="391" t="str">
        <f t="shared" si="18"/>
        <v/>
      </c>
      <c r="O174" s="367">
        <v>153</v>
      </c>
      <c r="P174" t="s">
        <v>1196</v>
      </c>
      <c r="Q174" s="5">
        <v>22.28</v>
      </c>
      <c r="S174" s="1" t="str">
        <v/>
      </c>
      <c r="AC174" s="367" t="str">
        <f t="shared" si="14"/>
        <v/>
      </c>
    </row>
    <row r="175" spans="1:29">
      <c r="A175" s="367" t="str">
        <v/>
      </c>
      <c r="H175" s="391" t="str">
        <f t="shared" si="15"/>
        <v/>
      </c>
      <c r="I175" s="391" t="str">
        <f t="shared" si="16"/>
        <v/>
      </c>
      <c r="J175" s="391" t="str">
        <f t="shared" si="17"/>
        <v/>
      </c>
      <c r="K175" s="391" t="str">
        <f t="shared" si="18"/>
        <v/>
      </c>
      <c r="O175" s="367">
        <v>154</v>
      </c>
      <c r="P175" t="s">
        <v>1197</v>
      </c>
      <c r="Q175" s="5">
        <v>10.78</v>
      </c>
      <c r="S175" s="1" t="str">
        <v/>
      </c>
      <c r="AC175" s="367" t="str">
        <f t="shared" si="14"/>
        <v/>
      </c>
    </row>
    <row r="176" spans="1:29">
      <c r="A176" s="367" t="str">
        <v/>
      </c>
      <c r="H176" s="391" t="str">
        <f t="shared" si="15"/>
        <v/>
      </c>
      <c r="I176" s="391" t="str">
        <f t="shared" si="16"/>
        <v/>
      </c>
      <c r="J176" s="391" t="str">
        <f t="shared" si="17"/>
        <v/>
      </c>
      <c r="K176" s="391" t="str">
        <f t="shared" si="18"/>
        <v/>
      </c>
      <c r="O176" s="367">
        <v>155</v>
      </c>
      <c r="P176" t="s">
        <v>1198</v>
      </c>
      <c r="Q176" s="5">
        <v>11.99</v>
      </c>
      <c r="S176" s="1" t="str">
        <v/>
      </c>
      <c r="AC176" s="367" t="str">
        <f t="shared" ref="AC176:AC239" si="19">IF($AB176&lt;&gt;"",$AB176,IFERROR(ROUNDUP($Z176/$Y176,1),""))</f>
        <v/>
      </c>
    </row>
    <row r="177" spans="1:29">
      <c r="A177" s="367" t="str">
        <v/>
      </c>
      <c r="H177" s="391" t="str">
        <f t="shared" si="15"/>
        <v/>
      </c>
      <c r="I177" s="391" t="str">
        <f t="shared" si="16"/>
        <v/>
      </c>
      <c r="J177" s="391" t="str">
        <f t="shared" si="17"/>
        <v/>
      </c>
      <c r="K177" s="391" t="str">
        <f t="shared" si="18"/>
        <v/>
      </c>
      <c r="O177" s="367">
        <v>156</v>
      </c>
      <c r="P177" t="s">
        <v>1199</v>
      </c>
      <c r="Q177" s="5">
        <v>13.81</v>
      </c>
      <c r="S177" s="1" t="str">
        <v/>
      </c>
      <c r="AC177" s="367" t="str">
        <f t="shared" si="19"/>
        <v/>
      </c>
    </row>
    <row r="178" spans="1:29">
      <c r="A178" s="367" t="str">
        <v/>
      </c>
      <c r="H178" s="391" t="str">
        <f t="shared" si="15"/>
        <v/>
      </c>
      <c r="I178" s="391" t="str">
        <f t="shared" si="16"/>
        <v/>
      </c>
      <c r="J178" s="391" t="str">
        <f t="shared" si="17"/>
        <v/>
      </c>
      <c r="K178" s="391" t="str">
        <f t="shared" si="18"/>
        <v/>
      </c>
      <c r="O178" s="367">
        <v>157</v>
      </c>
      <c r="P178" t="s">
        <v>1200</v>
      </c>
      <c r="Q178" s="5">
        <v>15.62</v>
      </c>
      <c r="S178" s="1" t="str">
        <v/>
      </c>
      <c r="AC178" s="367" t="str">
        <f t="shared" si="19"/>
        <v/>
      </c>
    </row>
    <row r="179" spans="1:29">
      <c r="A179" s="367" t="str">
        <v/>
      </c>
      <c r="H179" s="391" t="str">
        <f t="shared" si="15"/>
        <v/>
      </c>
      <c r="I179" s="391" t="str">
        <f t="shared" si="16"/>
        <v/>
      </c>
      <c r="J179" s="391" t="str">
        <f t="shared" si="17"/>
        <v/>
      </c>
      <c r="K179" s="391" t="str">
        <f t="shared" si="18"/>
        <v/>
      </c>
      <c r="O179" s="367">
        <v>158</v>
      </c>
      <c r="P179" t="s">
        <v>1201</v>
      </c>
      <c r="Q179" s="5">
        <v>16.829999999999998</v>
      </c>
      <c r="S179" s="1" t="str">
        <v/>
      </c>
      <c r="AC179" s="367" t="str">
        <f t="shared" si="19"/>
        <v/>
      </c>
    </row>
    <row r="180" spans="1:29">
      <c r="A180" s="367" t="str">
        <v/>
      </c>
      <c r="H180" s="391" t="str">
        <f t="shared" si="15"/>
        <v/>
      </c>
      <c r="I180" s="391" t="str">
        <f t="shared" si="16"/>
        <v/>
      </c>
      <c r="J180" s="391" t="str">
        <f t="shared" si="17"/>
        <v/>
      </c>
      <c r="K180" s="391" t="str">
        <f t="shared" si="18"/>
        <v/>
      </c>
      <c r="O180" s="367">
        <v>159</v>
      </c>
      <c r="P180" t="s">
        <v>1202</v>
      </c>
      <c r="Q180" s="5">
        <v>16.23</v>
      </c>
      <c r="S180" s="1" t="str">
        <v/>
      </c>
      <c r="AC180" s="367" t="str">
        <f t="shared" si="19"/>
        <v/>
      </c>
    </row>
    <row r="181" spans="1:29">
      <c r="A181" s="367" t="str">
        <v/>
      </c>
      <c r="H181" s="391" t="str">
        <f t="shared" si="15"/>
        <v/>
      </c>
      <c r="I181" s="391" t="str">
        <f t="shared" si="16"/>
        <v/>
      </c>
      <c r="J181" s="391" t="str">
        <f t="shared" si="17"/>
        <v/>
      </c>
      <c r="K181" s="391" t="str">
        <f t="shared" si="18"/>
        <v/>
      </c>
      <c r="O181" s="367">
        <v>160</v>
      </c>
      <c r="P181" t="s">
        <v>1203</v>
      </c>
      <c r="Q181" s="5">
        <v>17.440000000000001</v>
      </c>
      <c r="S181" s="1" t="str">
        <v/>
      </c>
      <c r="AC181" s="367" t="str">
        <f t="shared" si="19"/>
        <v/>
      </c>
    </row>
    <row r="182" spans="1:29">
      <c r="A182" s="367" t="str">
        <v/>
      </c>
      <c r="H182" s="391" t="str">
        <f t="shared" si="15"/>
        <v/>
      </c>
      <c r="I182" s="391" t="str">
        <f t="shared" si="16"/>
        <v/>
      </c>
      <c r="J182" s="391" t="str">
        <f t="shared" si="17"/>
        <v/>
      </c>
      <c r="K182" s="391" t="str">
        <f t="shared" si="18"/>
        <v/>
      </c>
      <c r="O182" s="367">
        <v>161</v>
      </c>
      <c r="P182" t="s">
        <v>1204</v>
      </c>
      <c r="Q182" s="5">
        <v>11.39</v>
      </c>
      <c r="S182" s="1" t="str">
        <v/>
      </c>
      <c r="AC182" s="367" t="str">
        <f t="shared" si="19"/>
        <v/>
      </c>
    </row>
    <row r="183" spans="1:29">
      <c r="A183" s="367" t="str">
        <v/>
      </c>
      <c r="H183" s="391" t="str">
        <f t="shared" si="15"/>
        <v/>
      </c>
      <c r="I183" s="391" t="str">
        <f t="shared" si="16"/>
        <v/>
      </c>
      <c r="J183" s="391" t="str">
        <f t="shared" si="17"/>
        <v/>
      </c>
      <c r="K183" s="391" t="str">
        <f t="shared" si="18"/>
        <v/>
      </c>
      <c r="O183" s="367">
        <v>162</v>
      </c>
      <c r="P183" t="s">
        <v>1205</v>
      </c>
      <c r="Q183" s="5">
        <v>12.6</v>
      </c>
      <c r="S183" s="1" t="str">
        <v/>
      </c>
      <c r="AC183" s="367" t="str">
        <f t="shared" si="19"/>
        <v/>
      </c>
    </row>
    <row r="184" spans="1:29">
      <c r="A184" s="367" t="str">
        <v/>
      </c>
      <c r="H184" s="391" t="str">
        <f t="shared" si="15"/>
        <v/>
      </c>
      <c r="I184" s="391" t="str">
        <f t="shared" si="16"/>
        <v/>
      </c>
      <c r="J184" s="391" t="str">
        <f t="shared" si="17"/>
        <v/>
      </c>
      <c r="K184" s="391" t="str">
        <f t="shared" si="18"/>
        <v/>
      </c>
      <c r="O184" s="367">
        <v>163</v>
      </c>
      <c r="P184" t="s">
        <v>1206</v>
      </c>
      <c r="Q184" s="5">
        <v>18.649999999999999</v>
      </c>
      <c r="S184" s="1" t="str">
        <v/>
      </c>
      <c r="AC184" s="367" t="str">
        <f t="shared" si="19"/>
        <v/>
      </c>
    </row>
    <row r="185" spans="1:29">
      <c r="A185" s="367" t="str">
        <v/>
      </c>
      <c r="H185" s="391" t="str">
        <f t="shared" si="15"/>
        <v/>
      </c>
      <c r="I185" s="391" t="str">
        <f t="shared" si="16"/>
        <v/>
      </c>
      <c r="J185" s="391" t="str">
        <f t="shared" si="17"/>
        <v/>
      </c>
      <c r="K185" s="391" t="str">
        <f t="shared" si="18"/>
        <v/>
      </c>
      <c r="O185" s="367">
        <v>164</v>
      </c>
      <c r="P185" t="s">
        <v>1207</v>
      </c>
      <c r="Q185" s="5">
        <v>21.07</v>
      </c>
      <c r="S185" s="1" t="str">
        <v/>
      </c>
      <c r="AC185" s="367" t="str">
        <f t="shared" si="19"/>
        <v/>
      </c>
    </row>
    <row r="186" spans="1:29">
      <c r="A186" s="367" t="str">
        <v/>
      </c>
      <c r="H186" s="391" t="str">
        <f t="shared" si="15"/>
        <v/>
      </c>
      <c r="I186" s="391" t="str">
        <f t="shared" si="16"/>
        <v/>
      </c>
      <c r="J186" s="391" t="str">
        <f t="shared" si="17"/>
        <v/>
      </c>
      <c r="K186" s="391" t="str">
        <f t="shared" si="18"/>
        <v/>
      </c>
      <c r="O186" s="367">
        <v>165</v>
      </c>
      <c r="P186" t="s">
        <v>1208</v>
      </c>
      <c r="Q186" s="5">
        <v>22.28</v>
      </c>
      <c r="S186" s="1" t="str">
        <v/>
      </c>
      <c r="AC186" s="367" t="str">
        <f t="shared" si="19"/>
        <v/>
      </c>
    </row>
    <row r="187" spans="1:29">
      <c r="A187" s="367" t="str">
        <v/>
      </c>
      <c r="H187" s="391" t="str">
        <f t="shared" si="15"/>
        <v/>
      </c>
      <c r="I187" s="391" t="str">
        <f t="shared" si="16"/>
        <v/>
      </c>
      <c r="J187" s="391" t="str">
        <f t="shared" si="17"/>
        <v/>
      </c>
      <c r="K187" s="391" t="str">
        <f t="shared" si="18"/>
        <v/>
      </c>
      <c r="O187" s="367">
        <v>166</v>
      </c>
      <c r="P187" t="s">
        <v>1409</v>
      </c>
      <c r="Q187" s="5">
        <v>11.39</v>
      </c>
      <c r="S187" s="1" t="str">
        <v/>
      </c>
      <c r="AC187" s="367" t="str">
        <f t="shared" si="19"/>
        <v/>
      </c>
    </row>
    <row r="188" spans="1:29">
      <c r="A188" s="367" t="str">
        <v/>
      </c>
      <c r="H188" s="391" t="str">
        <f t="shared" si="15"/>
        <v/>
      </c>
      <c r="I188" s="391" t="str">
        <f t="shared" si="16"/>
        <v/>
      </c>
      <c r="J188" s="391" t="str">
        <f t="shared" si="17"/>
        <v/>
      </c>
      <c r="K188" s="391" t="str">
        <f t="shared" si="18"/>
        <v/>
      </c>
      <c r="O188" s="367">
        <v>167</v>
      </c>
      <c r="P188" t="s">
        <v>1410</v>
      </c>
      <c r="Q188" s="5">
        <v>12.6</v>
      </c>
      <c r="S188" s="1" t="str">
        <v/>
      </c>
      <c r="AC188" s="367" t="str">
        <f t="shared" si="19"/>
        <v/>
      </c>
    </row>
    <row r="189" spans="1:29">
      <c r="A189" s="367" t="str">
        <v/>
      </c>
      <c r="H189" s="391" t="str">
        <f t="shared" si="15"/>
        <v/>
      </c>
      <c r="I189" s="391" t="str">
        <f t="shared" si="16"/>
        <v/>
      </c>
      <c r="J189" s="391" t="str">
        <f t="shared" si="17"/>
        <v/>
      </c>
      <c r="K189" s="391" t="str">
        <f t="shared" si="18"/>
        <v/>
      </c>
      <c r="O189" s="367">
        <v>168</v>
      </c>
      <c r="P189" t="s">
        <v>1411</v>
      </c>
      <c r="Q189" s="5">
        <v>18.649999999999999</v>
      </c>
      <c r="S189" s="1" t="str">
        <v/>
      </c>
      <c r="AC189" s="367" t="str">
        <f t="shared" si="19"/>
        <v/>
      </c>
    </row>
    <row r="190" spans="1:29">
      <c r="A190" s="367" t="str">
        <v/>
      </c>
      <c r="H190" s="391" t="str">
        <f t="shared" si="15"/>
        <v/>
      </c>
      <c r="I190" s="391" t="str">
        <f t="shared" si="16"/>
        <v/>
      </c>
      <c r="J190" s="391" t="str">
        <f t="shared" si="17"/>
        <v/>
      </c>
      <c r="K190" s="391" t="str">
        <f t="shared" si="18"/>
        <v/>
      </c>
      <c r="O190" s="367">
        <v>169</v>
      </c>
      <c r="P190" t="s">
        <v>1412</v>
      </c>
      <c r="Q190" s="5">
        <v>21.07</v>
      </c>
      <c r="S190" s="1" t="str">
        <v/>
      </c>
      <c r="AC190" s="367" t="str">
        <f t="shared" si="19"/>
        <v/>
      </c>
    </row>
    <row r="191" spans="1:29">
      <c r="A191" s="367" t="str">
        <v/>
      </c>
      <c r="H191" s="391" t="str">
        <f t="shared" si="15"/>
        <v/>
      </c>
      <c r="I191" s="391" t="str">
        <f t="shared" si="16"/>
        <v/>
      </c>
      <c r="J191" s="391" t="str">
        <f t="shared" si="17"/>
        <v/>
      </c>
      <c r="K191" s="391" t="str">
        <f t="shared" si="18"/>
        <v/>
      </c>
      <c r="O191" s="367">
        <v>170</v>
      </c>
      <c r="P191" t="s">
        <v>1413</v>
      </c>
      <c r="Q191" s="5">
        <v>22.28</v>
      </c>
      <c r="S191" s="1" t="str">
        <v/>
      </c>
      <c r="AC191" s="367" t="str">
        <f t="shared" si="19"/>
        <v/>
      </c>
    </row>
    <row r="192" spans="1:29">
      <c r="A192" s="367" t="str">
        <v/>
      </c>
      <c r="H192" s="391" t="str">
        <f t="shared" si="15"/>
        <v/>
      </c>
      <c r="I192" s="391" t="str">
        <f t="shared" si="16"/>
        <v/>
      </c>
      <c r="J192" s="391" t="str">
        <f t="shared" si="17"/>
        <v/>
      </c>
      <c r="K192" s="391" t="str">
        <f t="shared" si="18"/>
        <v/>
      </c>
      <c r="O192" s="367">
        <v>171</v>
      </c>
      <c r="P192" t="s">
        <v>1414</v>
      </c>
      <c r="Q192" s="5">
        <v>9.52</v>
      </c>
      <c r="S192" s="1" t="str">
        <v/>
      </c>
      <c r="AC192" s="367" t="str">
        <f t="shared" si="19"/>
        <v/>
      </c>
    </row>
    <row r="193" spans="1:29">
      <c r="A193" s="367" t="str">
        <v/>
      </c>
      <c r="H193" s="391" t="str">
        <f t="shared" si="15"/>
        <v/>
      </c>
      <c r="I193" s="391" t="str">
        <f t="shared" si="16"/>
        <v/>
      </c>
      <c r="J193" s="391" t="str">
        <f t="shared" si="17"/>
        <v/>
      </c>
      <c r="K193" s="391" t="str">
        <f t="shared" si="18"/>
        <v/>
      </c>
      <c r="O193" s="367">
        <v>172</v>
      </c>
      <c r="P193" t="s">
        <v>1415</v>
      </c>
      <c r="Q193" s="5">
        <v>11.5</v>
      </c>
      <c r="S193" s="1" t="str">
        <v/>
      </c>
      <c r="AC193" s="367" t="str">
        <f t="shared" si="19"/>
        <v/>
      </c>
    </row>
    <row r="194" spans="1:29">
      <c r="A194" s="367" t="str">
        <v/>
      </c>
      <c r="H194" s="391" t="str">
        <f t="shared" si="15"/>
        <v/>
      </c>
      <c r="I194" s="391" t="str">
        <f t="shared" si="16"/>
        <v/>
      </c>
      <c r="J194" s="391" t="str">
        <f t="shared" si="17"/>
        <v/>
      </c>
      <c r="K194" s="391" t="str">
        <f t="shared" si="18"/>
        <v/>
      </c>
      <c r="O194" s="367">
        <v>173</v>
      </c>
      <c r="P194" t="s">
        <v>1209</v>
      </c>
      <c r="Q194" s="5">
        <v>16.829999999999998</v>
      </c>
      <c r="S194" s="1" t="str">
        <v/>
      </c>
      <c r="AC194" s="367" t="str">
        <f t="shared" si="19"/>
        <v/>
      </c>
    </row>
    <row r="195" spans="1:29">
      <c r="A195" s="367" t="str">
        <v/>
      </c>
      <c r="H195" s="391" t="str">
        <f t="shared" si="15"/>
        <v/>
      </c>
      <c r="I195" s="391" t="str">
        <f t="shared" si="16"/>
        <v/>
      </c>
      <c r="J195" s="391" t="str">
        <f t="shared" si="17"/>
        <v/>
      </c>
      <c r="K195" s="391" t="str">
        <f t="shared" si="18"/>
        <v/>
      </c>
      <c r="O195" s="367">
        <v>174</v>
      </c>
      <c r="P195" t="s">
        <v>1210</v>
      </c>
      <c r="Q195" s="5">
        <v>18.04</v>
      </c>
      <c r="S195" s="1" t="str">
        <v/>
      </c>
      <c r="AC195" s="367" t="str">
        <f t="shared" si="19"/>
        <v/>
      </c>
    </row>
    <row r="196" spans="1:29">
      <c r="A196" s="367" t="str">
        <v/>
      </c>
      <c r="H196" s="391" t="str">
        <f t="shared" si="15"/>
        <v/>
      </c>
      <c r="I196" s="391" t="str">
        <f t="shared" si="16"/>
        <v/>
      </c>
      <c r="J196" s="391" t="str">
        <f t="shared" si="17"/>
        <v/>
      </c>
      <c r="K196" s="391" t="str">
        <f t="shared" si="18"/>
        <v/>
      </c>
      <c r="O196" s="367">
        <v>175</v>
      </c>
      <c r="P196" t="s">
        <v>1211</v>
      </c>
      <c r="Q196" s="5">
        <v>19.25</v>
      </c>
      <c r="S196" s="1" t="str">
        <v/>
      </c>
      <c r="AC196" s="367" t="str">
        <f t="shared" si="19"/>
        <v/>
      </c>
    </row>
    <row r="197" spans="1:29">
      <c r="A197" s="367" t="str">
        <v/>
      </c>
      <c r="H197" s="391" t="str">
        <f t="shared" si="15"/>
        <v/>
      </c>
      <c r="I197" s="391" t="str">
        <f t="shared" si="16"/>
        <v/>
      </c>
      <c r="J197" s="391" t="str">
        <f t="shared" si="17"/>
        <v/>
      </c>
      <c r="K197" s="391" t="str">
        <f t="shared" si="18"/>
        <v/>
      </c>
      <c r="O197" s="367">
        <v>176</v>
      </c>
      <c r="P197" t="s">
        <v>1212</v>
      </c>
      <c r="Q197" s="5">
        <v>25.3</v>
      </c>
      <c r="S197" s="1" t="str">
        <v/>
      </c>
      <c r="AC197" s="367" t="str">
        <f t="shared" si="19"/>
        <v/>
      </c>
    </row>
    <row r="198" spans="1:29">
      <c r="A198" s="367" t="str">
        <v/>
      </c>
      <c r="H198" s="391" t="str">
        <f t="shared" si="15"/>
        <v/>
      </c>
      <c r="I198" s="391" t="str">
        <f t="shared" si="16"/>
        <v/>
      </c>
      <c r="J198" s="391" t="str">
        <f t="shared" si="17"/>
        <v/>
      </c>
      <c r="K198" s="391" t="str">
        <f t="shared" si="18"/>
        <v/>
      </c>
      <c r="O198" s="367">
        <v>177</v>
      </c>
      <c r="P198" t="s">
        <v>1213</v>
      </c>
      <c r="Q198" s="5">
        <v>27.72</v>
      </c>
      <c r="S198" s="1" t="str">
        <v/>
      </c>
      <c r="AC198" s="367" t="str">
        <f t="shared" si="19"/>
        <v/>
      </c>
    </row>
    <row r="199" spans="1:29">
      <c r="A199" s="367" t="str">
        <v/>
      </c>
      <c r="H199" s="391" t="str">
        <f t="shared" si="15"/>
        <v/>
      </c>
      <c r="I199" s="391" t="str">
        <f t="shared" si="16"/>
        <v/>
      </c>
      <c r="J199" s="391" t="str">
        <f t="shared" si="17"/>
        <v/>
      </c>
      <c r="K199" s="391" t="str">
        <f t="shared" si="18"/>
        <v/>
      </c>
      <c r="O199" s="367">
        <v>178</v>
      </c>
      <c r="P199" t="s">
        <v>1214</v>
      </c>
      <c r="Q199" s="5">
        <v>30.14</v>
      </c>
      <c r="S199" s="1" t="str">
        <v/>
      </c>
      <c r="AC199" s="367" t="str">
        <f t="shared" si="19"/>
        <v/>
      </c>
    </row>
    <row r="200" spans="1:29">
      <c r="A200" s="367" t="str">
        <v/>
      </c>
      <c r="H200" s="391" t="str">
        <f t="shared" si="15"/>
        <v/>
      </c>
      <c r="I200" s="391" t="str">
        <f t="shared" si="16"/>
        <v/>
      </c>
      <c r="J200" s="391" t="str">
        <f t="shared" si="17"/>
        <v/>
      </c>
      <c r="K200" s="391" t="str">
        <f t="shared" si="18"/>
        <v/>
      </c>
      <c r="O200" s="367">
        <v>179</v>
      </c>
      <c r="P200" t="s">
        <v>1215</v>
      </c>
      <c r="Q200" s="5">
        <v>61.6</v>
      </c>
      <c r="S200" s="1" t="str">
        <v/>
      </c>
      <c r="AC200" s="367" t="str">
        <f t="shared" si="19"/>
        <v/>
      </c>
    </row>
    <row r="201" spans="1:29">
      <c r="A201" s="367" t="str">
        <v/>
      </c>
      <c r="H201" s="391" t="str">
        <f t="shared" si="15"/>
        <v/>
      </c>
      <c r="I201" s="391" t="str">
        <f t="shared" si="16"/>
        <v/>
      </c>
      <c r="J201" s="391" t="str">
        <f t="shared" si="17"/>
        <v/>
      </c>
      <c r="K201" s="391" t="str">
        <f t="shared" si="18"/>
        <v/>
      </c>
      <c r="O201" s="367">
        <v>180</v>
      </c>
      <c r="P201" t="s">
        <v>1216</v>
      </c>
      <c r="Q201" s="5">
        <v>67.650000000000006</v>
      </c>
      <c r="S201" s="1" t="str">
        <v/>
      </c>
      <c r="AC201" s="367" t="str">
        <f t="shared" si="19"/>
        <v/>
      </c>
    </row>
    <row r="202" spans="1:29">
      <c r="A202" s="367" t="str">
        <v/>
      </c>
      <c r="H202" s="391" t="str">
        <f t="shared" si="15"/>
        <v/>
      </c>
      <c r="I202" s="391" t="str">
        <f t="shared" si="16"/>
        <v/>
      </c>
      <c r="J202" s="391" t="str">
        <f t="shared" si="17"/>
        <v/>
      </c>
      <c r="K202" s="391" t="str">
        <f t="shared" si="18"/>
        <v/>
      </c>
      <c r="O202" s="367">
        <v>181</v>
      </c>
      <c r="P202" t="s">
        <v>1217</v>
      </c>
      <c r="Q202" s="5">
        <v>19.25</v>
      </c>
      <c r="S202" s="1" t="str">
        <v/>
      </c>
      <c r="AC202" s="367" t="str">
        <f t="shared" si="19"/>
        <v/>
      </c>
    </row>
    <row r="203" spans="1:29">
      <c r="A203" s="367" t="str">
        <v/>
      </c>
      <c r="H203" s="391" t="str">
        <f t="shared" si="15"/>
        <v/>
      </c>
      <c r="I203" s="391" t="str">
        <f t="shared" si="16"/>
        <v/>
      </c>
      <c r="J203" s="391" t="str">
        <f t="shared" si="17"/>
        <v/>
      </c>
      <c r="K203" s="391" t="str">
        <f t="shared" si="18"/>
        <v/>
      </c>
      <c r="O203" s="367">
        <v>182</v>
      </c>
      <c r="P203" t="s">
        <v>1218</v>
      </c>
      <c r="Q203" s="5">
        <v>20.46</v>
      </c>
      <c r="S203" s="1" t="str">
        <v/>
      </c>
      <c r="AC203" s="367" t="str">
        <f t="shared" si="19"/>
        <v/>
      </c>
    </row>
    <row r="204" spans="1:29">
      <c r="A204" s="367" t="str">
        <v/>
      </c>
      <c r="H204" s="391" t="str">
        <f t="shared" si="15"/>
        <v/>
      </c>
      <c r="I204" s="391" t="str">
        <f t="shared" si="16"/>
        <v/>
      </c>
      <c r="J204" s="391" t="str">
        <f t="shared" si="17"/>
        <v/>
      </c>
      <c r="K204" s="391" t="str">
        <f t="shared" si="18"/>
        <v/>
      </c>
      <c r="O204" s="367">
        <v>183</v>
      </c>
      <c r="P204" t="s">
        <v>1219</v>
      </c>
      <c r="Q204" s="5">
        <v>19.25</v>
      </c>
      <c r="S204" s="1" t="str">
        <v/>
      </c>
      <c r="AC204" s="367" t="str">
        <f t="shared" si="19"/>
        <v/>
      </c>
    </row>
    <row r="205" spans="1:29">
      <c r="A205" s="367" t="str">
        <v/>
      </c>
      <c r="H205" s="391" t="str">
        <f t="shared" si="15"/>
        <v/>
      </c>
      <c r="I205" s="391" t="str">
        <f t="shared" si="16"/>
        <v/>
      </c>
      <c r="J205" s="391" t="str">
        <f t="shared" si="17"/>
        <v/>
      </c>
      <c r="K205" s="391" t="str">
        <f t="shared" si="18"/>
        <v/>
      </c>
      <c r="O205" s="367">
        <v>184</v>
      </c>
      <c r="P205" t="s">
        <v>1220</v>
      </c>
      <c r="Q205" s="5">
        <v>20.46</v>
      </c>
      <c r="S205" s="1" t="str">
        <v/>
      </c>
      <c r="AC205" s="367" t="str">
        <f t="shared" si="19"/>
        <v/>
      </c>
    </row>
    <row r="206" spans="1:29">
      <c r="A206" s="367" t="str">
        <v/>
      </c>
      <c r="H206" s="391" t="str">
        <f t="shared" si="15"/>
        <v/>
      </c>
      <c r="I206" s="391" t="str">
        <f t="shared" si="16"/>
        <v/>
      </c>
      <c r="J206" s="391" t="str">
        <f t="shared" si="17"/>
        <v/>
      </c>
      <c r="K206" s="391" t="str">
        <f t="shared" si="18"/>
        <v/>
      </c>
      <c r="O206" s="367">
        <v>185</v>
      </c>
      <c r="P206" t="s">
        <v>1221</v>
      </c>
      <c r="Q206" s="5">
        <v>20.46</v>
      </c>
      <c r="S206" s="1" t="str">
        <v/>
      </c>
      <c r="AC206" s="367" t="str">
        <f t="shared" si="19"/>
        <v/>
      </c>
    </row>
    <row r="207" spans="1:29">
      <c r="A207" s="367" t="str">
        <v/>
      </c>
      <c r="H207" s="391" t="str">
        <f t="shared" si="15"/>
        <v/>
      </c>
      <c r="I207" s="391" t="str">
        <f t="shared" si="16"/>
        <v/>
      </c>
      <c r="J207" s="391" t="str">
        <f t="shared" si="17"/>
        <v/>
      </c>
      <c r="K207" s="391" t="str">
        <f t="shared" si="18"/>
        <v/>
      </c>
      <c r="O207" s="367">
        <v>186</v>
      </c>
      <c r="P207" t="s">
        <v>1222</v>
      </c>
      <c r="Q207" s="5">
        <v>20.46</v>
      </c>
      <c r="S207" s="1" t="str">
        <v/>
      </c>
      <c r="AC207" s="367" t="str">
        <f t="shared" si="19"/>
        <v/>
      </c>
    </row>
    <row r="208" spans="1:29">
      <c r="A208" s="367" t="str">
        <v/>
      </c>
      <c r="H208" s="391" t="str">
        <f t="shared" si="15"/>
        <v/>
      </c>
      <c r="I208" s="391" t="str">
        <f t="shared" si="16"/>
        <v/>
      </c>
      <c r="J208" s="391" t="str">
        <f t="shared" si="17"/>
        <v/>
      </c>
      <c r="K208" s="391" t="str">
        <f t="shared" si="18"/>
        <v/>
      </c>
      <c r="O208" s="367">
        <v>187</v>
      </c>
      <c r="P208" t="s">
        <v>1223</v>
      </c>
      <c r="Q208" s="5">
        <v>22.28</v>
      </c>
      <c r="S208" s="1" t="str">
        <v/>
      </c>
      <c r="AC208" s="367" t="str">
        <f t="shared" si="19"/>
        <v/>
      </c>
    </row>
    <row r="209" spans="1:29">
      <c r="A209" s="367" t="str">
        <v/>
      </c>
      <c r="H209" s="391" t="str">
        <f t="shared" si="15"/>
        <v/>
      </c>
      <c r="I209" s="391" t="str">
        <f t="shared" si="16"/>
        <v/>
      </c>
      <c r="J209" s="391" t="str">
        <f t="shared" si="17"/>
        <v/>
      </c>
      <c r="K209" s="391" t="str">
        <f t="shared" si="18"/>
        <v/>
      </c>
      <c r="O209" s="367">
        <v>188</v>
      </c>
      <c r="P209" t="s">
        <v>1416</v>
      </c>
      <c r="Q209" s="5">
        <v>20.46</v>
      </c>
      <c r="S209" s="1" t="str">
        <v/>
      </c>
      <c r="AC209" s="367" t="str">
        <f t="shared" si="19"/>
        <v/>
      </c>
    </row>
    <row r="210" spans="1:29">
      <c r="A210" s="367" t="str">
        <v/>
      </c>
      <c r="H210" s="391" t="str">
        <f t="shared" si="15"/>
        <v/>
      </c>
      <c r="I210" s="391" t="str">
        <f t="shared" si="16"/>
        <v/>
      </c>
      <c r="J210" s="391" t="str">
        <f t="shared" si="17"/>
        <v/>
      </c>
      <c r="K210" s="391" t="str">
        <f t="shared" si="18"/>
        <v/>
      </c>
      <c r="O210" s="367">
        <v>189</v>
      </c>
      <c r="P210" t="s">
        <v>1417</v>
      </c>
      <c r="Q210" s="5">
        <v>22.88</v>
      </c>
      <c r="S210" s="1" t="str">
        <v/>
      </c>
      <c r="AC210" s="367" t="str">
        <f t="shared" si="19"/>
        <v/>
      </c>
    </row>
    <row r="211" spans="1:29">
      <c r="A211" s="367" t="str">
        <v/>
      </c>
      <c r="H211" s="391" t="str">
        <f t="shared" si="15"/>
        <v/>
      </c>
      <c r="I211" s="391" t="str">
        <f t="shared" si="16"/>
        <v/>
      </c>
      <c r="J211" s="391" t="str">
        <f t="shared" si="17"/>
        <v/>
      </c>
      <c r="K211" s="391" t="str">
        <f t="shared" si="18"/>
        <v/>
      </c>
      <c r="O211" s="367">
        <v>190</v>
      </c>
      <c r="P211" t="s">
        <v>1108</v>
      </c>
      <c r="Q211" s="5">
        <v>6.6</v>
      </c>
      <c r="S211" s="1" t="str">
        <v/>
      </c>
      <c r="AC211" s="367" t="str">
        <f t="shared" si="19"/>
        <v/>
      </c>
    </row>
    <row r="212" spans="1:29">
      <c r="A212" s="367" t="str">
        <v/>
      </c>
      <c r="H212" s="391" t="str">
        <f t="shared" si="15"/>
        <v/>
      </c>
      <c r="I212" s="391" t="str">
        <f t="shared" si="16"/>
        <v/>
      </c>
      <c r="J212" s="391" t="str">
        <f t="shared" si="17"/>
        <v/>
      </c>
      <c r="K212" s="391" t="str">
        <f t="shared" si="18"/>
        <v/>
      </c>
      <c r="O212" s="367">
        <v>191</v>
      </c>
      <c r="P212" t="s">
        <v>1109</v>
      </c>
      <c r="Q212" s="5">
        <v>7.15</v>
      </c>
      <c r="S212" s="1" t="str">
        <v/>
      </c>
      <c r="AC212" s="367" t="str">
        <f t="shared" si="19"/>
        <v/>
      </c>
    </row>
    <row r="213" spans="1:29">
      <c r="A213" s="367" t="str">
        <v/>
      </c>
      <c r="H213" s="391" t="str">
        <f t="shared" si="15"/>
        <v/>
      </c>
      <c r="I213" s="391" t="str">
        <f t="shared" si="16"/>
        <v/>
      </c>
      <c r="J213" s="391" t="str">
        <f t="shared" si="17"/>
        <v/>
      </c>
      <c r="K213" s="391" t="str">
        <f t="shared" si="18"/>
        <v/>
      </c>
      <c r="O213" s="367">
        <v>192</v>
      </c>
      <c r="P213" t="s">
        <v>1110</v>
      </c>
      <c r="Q213" s="5">
        <v>7.7</v>
      </c>
      <c r="S213" s="1" t="str">
        <v/>
      </c>
      <c r="AC213" s="367" t="str">
        <f t="shared" si="19"/>
        <v/>
      </c>
    </row>
    <row r="214" spans="1:29">
      <c r="A214" s="367" t="str">
        <v/>
      </c>
      <c r="H214" s="391" t="str">
        <f t="shared" si="15"/>
        <v/>
      </c>
      <c r="I214" s="391" t="str">
        <f t="shared" si="16"/>
        <v/>
      </c>
      <c r="J214" s="391" t="str">
        <f t="shared" si="17"/>
        <v/>
      </c>
      <c r="K214" s="391" t="str">
        <f t="shared" si="18"/>
        <v/>
      </c>
      <c r="O214" s="367">
        <v>193</v>
      </c>
      <c r="P214" t="s">
        <v>1111</v>
      </c>
      <c r="Q214" s="5">
        <v>8.8000000000000007</v>
      </c>
      <c r="S214" s="1" t="str">
        <v/>
      </c>
      <c r="AC214" s="367" t="str">
        <f t="shared" si="19"/>
        <v/>
      </c>
    </row>
    <row r="215" spans="1:29">
      <c r="A215" s="367" t="str">
        <v/>
      </c>
      <c r="H215" s="391" t="str">
        <f t="shared" ref="H215:H278" si="20">IF($C215="","",ROUND((($B$2*$F215*($B$5/1000))/$B$6)*(1+IF($B$18="",0,$B$18)),2))</f>
        <v/>
      </c>
      <c r="I215" s="391" t="str">
        <f t="shared" ref="I215:I278" si="21">IF($C215="","",ROUND((($B$3*$F215*($B$5/1000))/$B$6)*(1+IF($B$18="",0,$B$18)),2))</f>
        <v/>
      </c>
      <c r="J215" s="391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1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7">
        <v>194</v>
      </c>
      <c r="P215" t="s">
        <v>1112</v>
      </c>
      <c r="Q215" s="5">
        <v>9.9</v>
      </c>
      <c r="S215" s="1" t="str">
        <v/>
      </c>
      <c r="AC215" s="367" t="str">
        <f t="shared" si="19"/>
        <v/>
      </c>
    </row>
    <row r="216" spans="1:29">
      <c r="A216" s="367" t="str">
        <v/>
      </c>
      <c r="H216" s="391" t="str">
        <f t="shared" si="20"/>
        <v/>
      </c>
      <c r="I216" s="391" t="str">
        <f t="shared" si="21"/>
        <v/>
      </c>
      <c r="J216" s="391" t="str">
        <f t="shared" si="22"/>
        <v/>
      </c>
      <c r="K216" s="391" t="str">
        <f t="shared" si="23"/>
        <v/>
      </c>
      <c r="O216" s="367">
        <v>195</v>
      </c>
      <c r="P216" t="s">
        <v>1113</v>
      </c>
      <c r="Q216" s="5">
        <v>11</v>
      </c>
      <c r="S216" s="1" t="str">
        <v/>
      </c>
      <c r="AC216" s="367" t="str">
        <f t="shared" si="19"/>
        <v/>
      </c>
    </row>
    <row r="217" spans="1:29">
      <c r="A217" s="367" t="str">
        <v/>
      </c>
      <c r="H217" s="391" t="str">
        <f t="shared" si="20"/>
        <v/>
      </c>
      <c r="I217" s="391" t="str">
        <f t="shared" si="21"/>
        <v/>
      </c>
      <c r="J217" s="391" t="str">
        <f t="shared" si="22"/>
        <v/>
      </c>
      <c r="K217" s="391" t="str">
        <f t="shared" si="23"/>
        <v/>
      </c>
      <c r="O217" s="367">
        <v>196</v>
      </c>
      <c r="P217" t="s">
        <v>1114</v>
      </c>
      <c r="Q217" s="5">
        <v>30.8</v>
      </c>
      <c r="S217" s="1" t="str">
        <v/>
      </c>
      <c r="AC217" s="367" t="str">
        <f t="shared" si="19"/>
        <v/>
      </c>
    </row>
    <row r="218" spans="1:29">
      <c r="A218" s="367" t="str">
        <v/>
      </c>
      <c r="H218" s="391" t="str">
        <f t="shared" si="20"/>
        <v/>
      </c>
      <c r="I218" s="391" t="str">
        <f t="shared" si="21"/>
        <v/>
      </c>
      <c r="J218" s="391" t="str">
        <f t="shared" si="22"/>
        <v/>
      </c>
      <c r="K218" s="391" t="str">
        <f t="shared" si="23"/>
        <v/>
      </c>
      <c r="O218" s="367">
        <v>197</v>
      </c>
      <c r="P218" t="s">
        <v>1115</v>
      </c>
      <c r="Q218" s="5">
        <v>41.8</v>
      </c>
      <c r="S218" s="1" t="str">
        <v/>
      </c>
      <c r="AC218" s="367" t="str">
        <f t="shared" si="19"/>
        <v/>
      </c>
    </row>
    <row r="219" spans="1:29">
      <c r="A219" s="367" t="str">
        <v/>
      </c>
      <c r="H219" s="391" t="str">
        <f t="shared" si="20"/>
        <v/>
      </c>
      <c r="I219" s="391" t="str">
        <f t="shared" si="21"/>
        <v/>
      </c>
      <c r="J219" s="391" t="str">
        <f t="shared" si="22"/>
        <v/>
      </c>
      <c r="K219" s="391" t="str">
        <f t="shared" si="23"/>
        <v/>
      </c>
      <c r="O219" s="367">
        <v>198</v>
      </c>
      <c r="P219" t="s">
        <v>1116</v>
      </c>
      <c r="Q219" s="5">
        <v>10.29</v>
      </c>
      <c r="S219" s="1" t="str">
        <v/>
      </c>
      <c r="AC219" s="367" t="str">
        <f t="shared" si="19"/>
        <v/>
      </c>
    </row>
    <row r="220" spans="1:29">
      <c r="A220" s="367" t="str">
        <v/>
      </c>
      <c r="H220" s="391" t="str">
        <f t="shared" si="20"/>
        <v/>
      </c>
      <c r="I220" s="391" t="str">
        <f t="shared" si="21"/>
        <v/>
      </c>
      <c r="J220" s="391" t="str">
        <f t="shared" si="22"/>
        <v/>
      </c>
      <c r="K220" s="391" t="str">
        <f t="shared" si="23"/>
        <v/>
      </c>
      <c r="O220" s="367">
        <v>199</v>
      </c>
      <c r="P220" t="s">
        <v>1117</v>
      </c>
      <c r="Q220" s="5">
        <v>11.5</v>
      </c>
      <c r="S220" s="1" t="str">
        <v/>
      </c>
      <c r="AC220" s="367" t="str">
        <f t="shared" si="19"/>
        <v/>
      </c>
    </row>
    <row r="221" spans="1:29">
      <c r="A221" s="367" t="str">
        <v/>
      </c>
      <c r="H221" s="391" t="str">
        <f t="shared" si="20"/>
        <v/>
      </c>
      <c r="I221" s="391" t="str">
        <f t="shared" si="21"/>
        <v/>
      </c>
      <c r="J221" s="391" t="str">
        <f t="shared" si="22"/>
        <v/>
      </c>
      <c r="K221" s="391" t="str">
        <f t="shared" si="23"/>
        <v/>
      </c>
      <c r="O221" s="367">
        <v>200</v>
      </c>
      <c r="P221" t="s">
        <v>1118</v>
      </c>
      <c r="Q221" s="5">
        <v>17.55</v>
      </c>
      <c r="S221" s="1" t="str">
        <v/>
      </c>
      <c r="AC221" s="367" t="str">
        <f t="shared" si="19"/>
        <v/>
      </c>
    </row>
    <row r="222" spans="1:29">
      <c r="A222" s="367" t="str">
        <v/>
      </c>
      <c r="H222" s="391" t="str">
        <f t="shared" si="20"/>
        <v/>
      </c>
      <c r="I222" s="391" t="str">
        <f t="shared" si="21"/>
        <v/>
      </c>
      <c r="J222" s="391" t="str">
        <f t="shared" si="22"/>
        <v/>
      </c>
      <c r="K222" s="391" t="str">
        <f t="shared" si="23"/>
        <v/>
      </c>
      <c r="O222" s="367">
        <v>201</v>
      </c>
      <c r="P222" t="s">
        <v>1119</v>
      </c>
      <c r="Q222" s="5">
        <v>19.97</v>
      </c>
      <c r="S222" s="1" t="str">
        <v/>
      </c>
      <c r="AC222" s="367" t="str">
        <f t="shared" si="19"/>
        <v/>
      </c>
    </row>
    <row r="223" spans="1:29">
      <c r="A223" s="367" t="str">
        <v/>
      </c>
      <c r="H223" s="391" t="str">
        <f t="shared" si="20"/>
        <v/>
      </c>
      <c r="I223" s="391" t="str">
        <f t="shared" si="21"/>
        <v/>
      </c>
      <c r="J223" s="391" t="str">
        <f t="shared" si="22"/>
        <v/>
      </c>
      <c r="K223" s="391" t="str">
        <f t="shared" si="23"/>
        <v/>
      </c>
      <c r="O223" s="367">
        <v>202</v>
      </c>
      <c r="P223" t="s">
        <v>1120</v>
      </c>
      <c r="Q223" s="5">
        <v>21.18</v>
      </c>
      <c r="S223" s="1" t="str">
        <v/>
      </c>
      <c r="AC223" s="367" t="str">
        <f t="shared" si="19"/>
        <v/>
      </c>
    </row>
    <row r="224" spans="1:29">
      <c r="A224" s="367" t="str">
        <v/>
      </c>
      <c r="H224" s="391" t="str">
        <f t="shared" si="20"/>
        <v/>
      </c>
      <c r="I224" s="391" t="str">
        <f t="shared" si="21"/>
        <v/>
      </c>
      <c r="J224" s="391" t="str">
        <f t="shared" si="22"/>
        <v/>
      </c>
      <c r="K224" s="391" t="str">
        <f t="shared" si="23"/>
        <v/>
      </c>
      <c r="O224" s="367">
        <v>203</v>
      </c>
      <c r="P224" t="s">
        <v>1121</v>
      </c>
      <c r="Q224" s="5">
        <v>9.68</v>
      </c>
      <c r="S224" s="1" t="str">
        <v/>
      </c>
      <c r="AC224" s="367" t="str">
        <f t="shared" si="19"/>
        <v/>
      </c>
    </row>
    <row r="225" spans="1:29">
      <c r="A225" s="367" t="str">
        <v/>
      </c>
      <c r="H225" s="391" t="str">
        <f t="shared" si="20"/>
        <v/>
      </c>
      <c r="I225" s="391" t="str">
        <f t="shared" si="21"/>
        <v/>
      </c>
      <c r="J225" s="391" t="str">
        <f t="shared" si="22"/>
        <v/>
      </c>
      <c r="K225" s="391" t="str">
        <f t="shared" si="23"/>
        <v/>
      </c>
      <c r="O225" s="367">
        <v>204</v>
      </c>
      <c r="P225" t="s">
        <v>1122</v>
      </c>
      <c r="Q225" s="5">
        <v>10.89</v>
      </c>
      <c r="S225" s="1" t="str">
        <v/>
      </c>
      <c r="AC225" s="367" t="str">
        <f t="shared" si="19"/>
        <v/>
      </c>
    </row>
    <row r="226" spans="1:29">
      <c r="A226" s="367" t="str">
        <v/>
      </c>
      <c r="H226" s="391" t="str">
        <f t="shared" si="20"/>
        <v/>
      </c>
      <c r="I226" s="391" t="str">
        <f t="shared" si="21"/>
        <v/>
      </c>
      <c r="J226" s="391" t="str">
        <f t="shared" si="22"/>
        <v/>
      </c>
      <c r="K226" s="391" t="str">
        <f t="shared" si="23"/>
        <v/>
      </c>
      <c r="O226" s="367">
        <v>205</v>
      </c>
      <c r="P226" t="s">
        <v>1123</v>
      </c>
      <c r="Q226" s="5">
        <v>12.71</v>
      </c>
      <c r="S226" s="1" t="str">
        <v/>
      </c>
      <c r="AC226" s="367" t="str">
        <f t="shared" si="19"/>
        <v/>
      </c>
    </row>
    <row r="227" spans="1:29">
      <c r="A227" s="367" t="str">
        <v/>
      </c>
      <c r="H227" s="391" t="str">
        <f t="shared" si="20"/>
        <v/>
      </c>
      <c r="I227" s="391" t="str">
        <f t="shared" si="21"/>
        <v/>
      </c>
      <c r="J227" s="391" t="str">
        <f t="shared" si="22"/>
        <v/>
      </c>
      <c r="K227" s="391" t="str">
        <f t="shared" si="23"/>
        <v/>
      </c>
      <c r="O227" s="367">
        <v>206</v>
      </c>
      <c r="P227" t="s">
        <v>1124</v>
      </c>
      <c r="Q227" s="5">
        <v>14.52</v>
      </c>
      <c r="S227" s="1" t="str">
        <v/>
      </c>
      <c r="AC227" s="367" t="str">
        <f t="shared" si="19"/>
        <v/>
      </c>
    </row>
    <row r="228" spans="1:29">
      <c r="A228" s="367" t="str">
        <v/>
      </c>
      <c r="H228" s="391" t="str">
        <f t="shared" si="20"/>
        <v/>
      </c>
      <c r="I228" s="391" t="str">
        <f t="shared" si="21"/>
        <v/>
      </c>
      <c r="J228" s="391" t="str">
        <f t="shared" si="22"/>
        <v/>
      </c>
      <c r="K228" s="391" t="str">
        <f t="shared" si="23"/>
        <v/>
      </c>
      <c r="O228" s="367">
        <v>207</v>
      </c>
      <c r="P228" t="s">
        <v>1125</v>
      </c>
      <c r="Q228" s="5">
        <v>15.73</v>
      </c>
      <c r="S228" s="1" t="str">
        <v/>
      </c>
      <c r="AC228" s="367" t="str">
        <f t="shared" si="19"/>
        <v/>
      </c>
    </row>
    <row r="229" spans="1:29">
      <c r="A229" s="367" t="str">
        <v/>
      </c>
      <c r="H229" s="391" t="str">
        <f t="shared" si="20"/>
        <v/>
      </c>
      <c r="I229" s="391" t="str">
        <f t="shared" si="21"/>
        <v/>
      </c>
      <c r="J229" s="391" t="str">
        <f t="shared" si="22"/>
        <v/>
      </c>
      <c r="K229" s="391" t="str">
        <f t="shared" si="23"/>
        <v/>
      </c>
      <c r="O229" s="367">
        <v>208</v>
      </c>
      <c r="P229" t="s">
        <v>1126</v>
      </c>
      <c r="Q229" s="5">
        <v>15.13</v>
      </c>
      <c r="S229" s="1" t="str">
        <v/>
      </c>
      <c r="AC229" s="367" t="str">
        <f t="shared" si="19"/>
        <v/>
      </c>
    </row>
    <row r="230" spans="1:29">
      <c r="A230" s="367" t="str">
        <v/>
      </c>
      <c r="H230" s="391" t="str">
        <f t="shared" si="20"/>
        <v/>
      </c>
      <c r="I230" s="391" t="str">
        <f t="shared" si="21"/>
        <v/>
      </c>
      <c r="J230" s="391" t="str">
        <f t="shared" si="22"/>
        <v/>
      </c>
      <c r="K230" s="391" t="str">
        <f t="shared" si="23"/>
        <v/>
      </c>
      <c r="O230" s="367">
        <v>209</v>
      </c>
      <c r="P230" t="s">
        <v>1127</v>
      </c>
      <c r="Q230" s="5">
        <v>16.34</v>
      </c>
      <c r="S230" s="1" t="str">
        <v/>
      </c>
      <c r="AC230" s="367" t="str">
        <f t="shared" si="19"/>
        <v/>
      </c>
    </row>
    <row r="231" spans="1:29">
      <c r="A231" s="367" t="str">
        <v/>
      </c>
      <c r="H231" s="391" t="str">
        <f t="shared" si="20"/>
        <v/>
      </c>
      <c r="I231" s="391" t="str">
        <f t="shared" si="21"/>
        <v/>
      </c>
      <c r="J231" s="391" t="str">
        <f t="shared" si="22"/>
        <v/>
      </c>
      <c r="K231" s="391" t="str">
        <f t="shared" si="23"/>
        <v/>
      </c>
      <c r="O231" s="367">
        <v>210</v>
      </c>
      <c r="P231" t="s">
        <v>1128</v>
      </c>
      <c r="Q231" s="5">
        <v>10.29</v>
      </c>
      <c r="S231" s="1" t="str">
        <v/>
      </c>
      <c r="AC231" s="367" t="str">
        <f t="shared" si="19"/>
        <v/>
      </c>
    </row>
    <row r="232" spans="1:29">
      <c r="A232" s="367" t="str">
        <v/>
      </c>
      <c r="H232" s="391" t="str">
        <f t="shared" si="20"/>
        <v/>
      </c>
      <c r="I232" s="391" t="str">
        <f t="shared" si="21"/>
        <v/>
      </c>
      <c r="J232" s="391" t="str">
        <f t="shared" si="22"/>
        <v/>
      </c>
      <c r="K232" s="391" t="str">
        <f t="shared" si="23"/>
        <v/>
      </c>
      <c r="O232" s="367">
        <v>211</v>
      </c>
      <c r="P232" t="s">
        <v>1129</v>
      </c>
      <c r="Q232" s="5">
        <v>11.5</v>
      </c>
      <c r="S232" s="1" t="str">
        <v/>
      </c>
      <c r="AC232" s="367" t="str">
        <f t="shared" si="19"/>
        <v/>
      </c>
    </row>
    <row r="233" spans="1:29">
      <c r="A233" s="367" t="str">
        <v/>
      </c>
      <c r="H233" s="391" t="str">
        <f t="shared" si="20"/>
        <v/>
      </c>
      <c r="I233" s="391" t="str">
        <f t="shared" si="21"/>
        <v/>
      </c>
      <c r="J233" s="391" t="str">
        <f t="shared" si="22"/>
        <v/>
      </c>
      <c r="K233" s="391" t="str">
        <f t="shared" si="23"/>
        <v/>
      </c>
      <c r="O233" s="367">
        <v>212</v>
      </c>
      <c r="P233" t="s">
        <v>1130</v>
      </c>
      <c r="Q233" s="5">
        <v>17.55</v>
      </c>
      <c r="S233" s="1" t="str">
        <v/>
      </c>
      <c r="AC233" s="367" t="str">
        <f t="shared" si="19"/>
        <v/>
      </c>
    </row>
    <row r="234" spans="1:29">
      <c r="A234" s="367" t="str">
        <v/>
      </c>
      <c r="H234" s="391" t="str">
        <f t="shared" si="20"/>
        <v/>
      </c>
      <c r="I234" s="391" t="str">
        <f t="shared" si="21"/>
        <v/>
      </c>
      <c r="J234" s="391" t="str">
        <f t="shared" si="22"/>
        <v/>
      </c>
      <c r="K234" s="391" t="str">
        <f t="shared" si="23"/>
        <v/>
      </c>
      <c r="O234" s="367">
        <v>213</v>
      </c>
      <c r="P234" t="s">
        <v>1131</v>
      </c>
      <c r="Q234" s="5">
        <v>19.97</v>
      </c>
      <c r="S234" s="1" t="str">
        <v/>
      </c>
      <c r="AC234" s="367" t="str">
        <f t="shared" si="19"/>
        <v/>
      </c>
    </row>
    <row r="235" spans="1:29">
      <c r="A235" s="367" t="str">
        <v/>
      </c>
      <c r="H235" s="391" t="str">
        <f t="shared" si="20"/>
        <v/>
      </c>
      <c r="I235" s="391" t="str">
        <f t="shared" si="21"/>
        <v/>
      </c>
      <c r="J235" s="391" t="str">
        <f t="shared" si="22"/>
        <v/>
      </c>
      <c r="K235" s="391" t="str">
        <f t="shared" si="23"/>
        <v/>
      </c>
      <c r="O235" s="367">
        <v>214</v>
      </c>
      <c r="P235" t="s">
        <v>1132</v>
      </c>
      <c r="Q235" s="5">
        <v>21.18</v>
      </c>
      <c r="S235" s="1" t="str">
        <v/>
      </c>
      <c r="AC235" s="367" t="str">
        <f t="shared" si="19"/>
        <v/>
      </c>
    </row>
    <row r="236" spans="1:29">
      <c r="A236" s="367" t="str">
        <v/>
      </c>
      <c r="H236" s="391" t="str">
        <f t="shared" si="20"/>
        <v/>
      </c>
      <c r="I236" s="391" t="str">
        <f t="shared" si="21"/>
        <v/>
      </c>
      <c r="J236" s="391" t="str">
        <f t="shared" si="22"/>
        <v/>
      </c>
      <c r="K236" s="391" t="str">
        <f t="shared" si="23"/>
        <v/>
      </c>
      <c r="O236" s="367">
        <v>215</v>
      </c>
      <c r="P236" t="s">
        <v>1402</v>
      </c>
      <c r="Q236" s="5">
        <v>10.29</v>
      </c>
      <c r="S236" s="1" t="str">
        <v/>
      </c>
      <c r="AC236" s="367" t="str">
        <f t="shared" si="19"/>
        <v/>
      </c>
    </row>
    <row r="237" spans="1:29">
      <c r="A237" s="367" t="str">
        <v/>
      </c>
      <c r="H237" s="391" t="str">
        <f t="shared" si="20"/>
        <v/>
      </c>
      <c r="I237" s="391" t="str">
        <f t="shared" si="21"/>
        <v/>
      </c>
      <c r="J237" s="391" t="str">
        <f t="shared" si="22"/>
        <v/>
      </c>
      <c r="K237" s="391" t="str">
        <f t="shared" si="23"/>
        <v/>
      </c>
      <c r="O237" s="367">
        <v>216</v>
      </c>
      <c r="P237" t="s">
        <v>1403</v>
      </c>
      <c r="Q237" s="5">
        <v>11.5</v>
      </c>
      <c r="S237" s="1" t="str">
        <v/>
      </c>
      <c r="AC237" s="367" t="str">
        <f t="shared" si="19"/>
        <v/>
      </c>
    </row>
    <row r="238" spans="1:29">
      <c r="A238" s="367" t="str">
        <v/>
      </c>
      <c r="H238" s="391" t="str">
        <f t="shared" si="20"/>
        <v/>
      </c>
      <c r="I238" s="391" t="str">
        <f t="shared" si="21"/>
        <v/>
      </c>
      <c r="J238" s="391" t="str">
        <f t="shared" si="22"/>
        <v/>
      </c>
      <c r="K238" s="391" t="str">
        <f t="shared" si="23"/>
        <v/>
      </c>
      <c r="O238" s="367">
        <v>217</v>
      </c>
      <c r="P238" t="s">
        <v>1404</v>
      </c>
      <c r="Q238" s="5">
        <v>17.55</v>
      </c>
      <c r="S238" s="1" t="str">
        <v/>
      </c>
      <c r="AC238" s="367" t="str">
        <f t="shared" si="19"/>
        <v/>
      </c>
    </row>
    <row r="239" spans="1:29">
      <c r="A239" s="367" t="str">
        <v/>
      </c>
      <c r="H239" s="391" t="str">
        <f t="shared" si="20"/>
        <v/>
      </c>
      <c r="I239" s="391" t="str">
        <f t="shared" si="21"/>
        <v/>
      </c>
      <c r="J239" s="391" t="str">
        <f t="shared" si="22"/>
        <v/>
      </c>
      <c r="K239" s="391" t="str">
        <f t="shared" si="23"/>
        <v/>
      </c>
      <c r="O239" s="367">
        <v>218</v>
      </c>
      <c r="P239" t="s">
        <v>1405</v>
      </c>
      <c r="Q239" s="5">
        <v>19.97</v>
      </c>
      <c r="S239" s="1" t="str">
        <v/>
      </c>
      <c r="AC239" s="367" t="str">
        <f t="shared" si="19"/>
        <v/>
      </c>
    </row>
    <row r="240" spans="1:29">
      <c r="A240" s="367" t="str">
        <v/>
      </c>
      <c r="H240" s="391" t="str">
        <f t="shared" si="20"/>
        <v/>
      </c>
      <c r="I240" s="391" t="str">
        <f t="shared" si="21"/>
        <v/>
      </c>
      <c r="J240" s="391" t="str">
        <f t="shared" si="22"/>
        <v/>
      </c>
      <c r="K240" s="391" t="str">
        <f t="shared" si="23"/>
        <v/>
      </c>
      <c r="O240" s="367">
        <v>219</v>
      </c>
      <c r="P240" t="s">
        <v>1406</v>
      </c>
      <c r="Q240" s="5">
        <v>21.18</v>
      </c>
      <c r="S240" s="1" t="str">
        <v/>
      </c>
      <c r="AC240" s="367" t="str">
        <f t="shared" ref="AC240:AC303" si="24">IF($AB240&lt;&gt;"",$AB240,IFERROR(ROUNDUP($Z240/$Y240,1),""))</f>
        <v/>
      </c>
    </row>
    <row r="241" spans="1:29">
      <c r="A241" s="367" t="str">
        <v/>
      </c>
      <c r="H241" s="391" t="str">
        <f t="shared" si="20"/>
        <v/>
      </c>
      <c r="I241" s="391" t="str">
        <f t="shared" si="21"/>
        <v/>
      </c>
      <c r="J241" s="391" t="str">
        <f t="shared" si="22"/>
        <v/>
      </c>
      <c r="K241" s="391" t="str">
        <f t="shared" si="23"/>
        <v/>
      </c>
      <c r="O241" s="367">
        <v>220</v>
      </c>
      <c r="P241" t="s">
        <v>1407</v>
      </c>
      <c r="Q241" s="5">
        <v>8.42</v>
      </c>
      <c r="S241" s="1" t="str">
        <v/>
      </c>
      <c r="AC241" s="367" t="str">
        <f t="shared" si="24"/>
        <v/>
      </c>
    </row>
    <row r="242" spans="1:29">
      <c r="A242" s="367" t="str">
        <v/>
      </c>
      <c r="H242" s="391" t="str">
        <f t="shared" si="20"/>
        <v/>
      </c>
      <c r="I242" s="391" t="str">
        <f t="shared" si="21"/>
        <v/>
      </c>
      <c r="J242" s="391" t="str">
        <f t="shared" si="22"/>
        <v/>
      </c>
      <c r="K242" s="391" t="str">
        <f t="shared" si="23"/>
        <v/>
      </c>
      <c r="O242" s="367">
        <v>221</v>
      </c>
      <c r="P242" t="s">
        <v>1408</v>
      </c>
      <c r="Q242" s="5">
        <v>10.4</v>
      </c>
      <c r="S242" s="1" t="str">
        <v/>
      </c>
      <c r="AC242" s="367" t="str">
        <f t="shared" si="24"/>
        <v/>
      </c>
    </row>
    <row r="243" spans="1:29">
      <c r="A243" s="367" t="str">
        <v/>
      </c>
      <c r="H243" s="391" t="str">
        <f t="shared" si="20"/>
        <v/>
      </c>
      <c r="I243" s="391" t="str">
        <f t="shared" si="21"/>
        <v/>
      </c>
      <c r="J243" s="391" t="str">
        <f t="shared" si="22"/>
        <v/>
      </c>
      <c r="K243" s="391" t="str">
        <f t="shared" si="23"/>
        <v/>
      </c>
      <c r="O243" s="367">
        <v>222</v>
      </c>
      <c r="P243" t="s">
        <v>1133</v>
      </c>
      <c r="Q243" s="5">
        <v>15.73</v>
      </c>
      <c r="S243" s="1" t="str">
        <v/>
      </c>
      <c r="AC243" s="367" t="str">
        <f t="shared" si="24"/>
        <v/>
      </c>
    </row>
    <row r="244" spans="1:29">
      <c r="A244" s="367" t="str">
        <v/>
      </c>
      <c r="H244" s="391" t="str">
        <f t="shared" si="20"/>
        <v/>
      </c>
      <c r="I244" s="391" t="str">
        <f t="shared" si="21"/>
        <v/>
      </c>
      <c r="J244" s="391" t="str">
        <f t="shared" si="22"/>
        <v/>
      </c>
      <c r="K244" s="391" t="str">
        <f t="shared" si="23"/>
        <v/>
      </c>
      <c r="O244" s="367">
        <v>223</v>
      </c>
      <c r="P244" t="s">
        <v>1134</v>
      </c>
      <c r="Q244" s="5">
        <v>16.940000000000001</v>
      </c>
      <c r="S244" s="1" t="str">
        <v/>
      </c>
      <c r="AC244" s="367" t="str">
        <f t="shared" si="24"/>
        <v/>
      </c>
    </row>
    <row r="245" spans="1:29">
      <c r="A245" s="367" t="str">
        <v/>
      </c>
      <c r="H245" s="391" t="str">
        <f t="shared" si="20"/>
        <v/>
      </c>
      <c r="I245" s="391" t="str">
        <f t="shared" si="21"/>
        <v/>
      </c>
      <c r="J245" s="391" t="str">
        <f t="shared" si="22"/>
        <v/>
      </c>
      <c r="K245" s="391" t="str">
        <f t="shared" si="23"/>
        <v/>
      </c>
      <c r="O245" s="367">
        <v>224</v>
      </c>
      <c r="P245" t="s">
        <v>1135</v>
      </c>
      <c r="Q245" s="5">
        <v>18.149999999999999</v>
      </c>
      <c r="S245" s="1" t="str">
        <v/>
      </c>
      <c r="AC245" s="367" t="str">
        <f t="shared" si="24"/>
        <v/>
      </c>
    </row>
    <row r="246" spans="1:29">
      <c r="A246" s="367" t="str">
        <v/>
      </c>
      <c r="H246" s="391" t="str">
        <f t="shared" si="20"/>
        <v/>
      </c>
      <c r="I246" s="391" t="str">
        <f t="shared" si="21"/>
        <v/>
      </c>
      <c r="J246" s="391" t="str">
        <f t="shared" si="22"/>
        <v/>
      </c>
      <c r="K246" s="391" t="str">
        <f t="shared" si="23"/>
        <v/>
      </c>
      <c r="O246" s="367">
        <v>225</v>
      </c>
      <c r="P246" t="s">
        <v>1136</v>
      </c>
      <c r="Q246" s="5">
        <v>24.2</v>
      </c>
      <c r="S246" s="1" t="str">
        <v/>
      </c>
      <c r="AC246" s="367" t="str">
        <f t="shared" si="24"/>
        <v/>
      </c>
    </row>
    <row r="247" spans="1:29">
      <c r="A247" s="367" t="str">
        <v/>
      </c>
      <c r="H247" s="391" t="str">
        <f t="shared" si="20"/>
        <v/>
      </c>
      <c r="I247" s="391" t="str">
        <f t="shared" si="21"/>
        <v/>
      </c>
      <c r="J247" s="391" t="str">
        <f t="shared" si="22"/>
        <v/>
      </c>
      <c r="K247" s="391" t="str">
        <f t="shared" si="23"/>
        <v/>
      </c>
      <c r="O247" s="367">
        <v>226</v>
      </c>
      <c r="P247" t="s">
        <v>1137</v>
      </c>
      <c r="Q247" s="5">
        <v>26.62</v>
      </c>
      <c r="S247" s="1" t="str">
        <v/>
      </c>
      <c r="AC247" s="367" t="str">
        <f t="shared" si="24"/>
        <v/>
      </c>
    </row>
    <row r="248" spans="1:29">
      <c r="A248" s="367" t="str">
        <v/>
      </c>
      <c r="H248" s="391" t="str">
        <f t="shared" si="20"/>
        <v/>
      </c>
      <c r="I248" s="391" t="str">
        <f t="shared" si="21"/>
        <v/>
      </c>
      <c r="J248" s="391" t="str">
        <f t="shared" si="22"/>
        <v/>
      </c>
      <c r="K248" s="391" t="str">
        <f t="shared" si="23"/>
        <v/>
      </c>
      <c r="O248" s="367">
        <v>227</v>
      </c>
      <c r="P248" t="s">
        <v>1138</v>
      </c>
      <c r="Q248" s="5">
        <v>29.04</v>
      </c>
      <c r="S248" s="1" t="str">
        <v/>
      </c>
      <c r="AC248" s="367" t="str">
        <f t="shared" si="24"/>
        <v/>
      </c>
    </row>
    <row r="249" spans="1:29">
      <c r="A249" s="367" t="str">
        <v/>
      </c>
      <c r="H249" s="391" t="str">
        <f t="shared" si="20"/>
        <v/>
      </c>
      <c r="I249" s="391" t="str">
        <f t="shared" si="21"/>
        <v/>
      </c>
      <c r="J249" s="391" t="str">
        <f t="shared" si="22"/>
        <v/>
      </c>
      <c r="K249" s="391" t="str">
        <f t="shared" si="23"/>
        <v/>
      </c>
      <c r="O249" s="367">
        <v>228</v>
      </c>
      <c r="P249" t="s">
        <v>1139</v>
      </c>
      <c r="Q249" s="5">
        <v>60.5</v>
      </c>
      <c r="S249" s="1" t="str">
        <v/>
      </c>
      <c r="AC249" s="367" t="str">
        <f t="shared" si="24"/>
        <v/>
      </c>
    </row>
    <row r="250" spans="1:29">
      <c r="A250" s="367" t="str">
        <v/>
      </c>
      <c r="H250" s="391" t="str">
        <f t="shared" si="20"/>
        <v/>
      </c>
      <c r="I250" s="391" t="str">
        <f t="shared" si="21"/>
        <v/>
      </c>
      <c r="J250" s="391" t="str">
        <f t="shared" si="22"/>
        <v/>
      </c>
      <c r="K250" s="391" t="str">
        <f t="shared" si="23"/>
        <v/>
      </c>
      <c r="O250" s="367">
        <v>229</v>
      </c>
      <c r="P250" t="s">
        <v>1140</v>
      </c>
      <c r="Q250" s="5">
        <v>66.55</v>
      </c>
      <c r="S250" s="1" t="str">
        <v/>
      </c>
      <c r="AC250" s="367" t="str">
        <f t="shared" si="24"/>
        <v/>
      </c>
    </row>
    <row r="251" spans="1:29">
      <c r="A251" s="367" t="str">
        <v/>
      </c>
      <c r="H251" s="391" t="str">
        <f t="shared" si="20"/>
        <v/>
      </c>
      <c r="I251" s="391" t="str">
        <f t="shared" si="21"/>
        <v/>
      </c>
      <c r="J251" s="391" t="str">
        <f t="shared" si="22"/>
        <v/>
      </c>
      <c r="K251" s="391" t="str">
        <f t="shared" si="23"/>
        <v/>
      </c>
      <c r="O251" s="367">
        <v>230</v>
      </c>
      <c r="P251" t="s">
        <v>1141</v>
      </c>
      <c r="Q251" s="5">
        <v>18.149999999999999</v>
      </c>
      <c r="S251" s="1" t="str">
        <v/>
      </c>
      <c r="AC251" s="367" t="str">
        <f t="shared" si="24"/>
        <v/>
      </c>
    </row>
    <row r="252" spans="1:29">
      <c r="A252" s="367" t="str">
        <v/>
      </c>
      <c r="H252" s="391" t="str">
        <f t="shared" si="20"/>
        <v/>
      </c>
      <c r="I252" s="391" t="str">
        <f t="shared" si="21"/>
        <v/>
      </c>
      <c r="J252" s="391" t="str">
        <f t="shared" si="22"/>
        <v/>
      </c>
      <c r="K252" s="391" t="str">
        <f t="shared" si="23"/>
        <v/>
      </c>
      <c r="O252" s="367">
        <v>231</v>
      </c>
      <c r="P252" t="s">
        <v>1142</v>
      </c>
      <c r="Q252" s="5">
        <v>19.36</v>
      </c>
      <c r="S252" s="1" t="str">
        <v/>
      </c>
      <c r="AC252" s="367" t="str">
        <f t="shared" si="24"/>
        <v/>
      </c>
    </row>
    <row r="253" spans="1:29">
      <c r="A253" s="367" t="str">
        <v/>
      </c>
      <c r="H253" s="391" t="str">
        <f t="shared" si="20"/>
        <v/>
      </c>
      <c r="I253" s="391" t="str">
        <f t="shared" si="21"/>
        <v/>
      </c>
      <c r="J253" s="391" t="str">
        <f t="shared" si="22"/>
        <v/>
      </c>
      <c r="K253" s="391" t="str">
        <f t="shared" si="23"/>
        <v/>
      </c>
      <c r="O253" s="367">
        <v>232</v>
      </c>
      <c r="P253" t="s">
        <v>1143</v>
      </c>
      <c r="Q253" s="5">
        <v>18.149999999999999</v>
      </c>
      <c r="S253" s="1" t="str">
        <v/>
      </c>
      <c r="AC253" s="367" t="str">
        <f t="shared" si="24"/>
        <v/>
      </c>
    </row>
    <row r="254" spans="1:29">
      <c r="A254" s="367" t="str">
        <v/>
      </c>
      <c r="H254" s="391" t="str">
        <f t="shared" si="20"/>
        <v/>
      </c>
      <c r="I254" s="391" t="str">
        <f t="shared" si="21"/>
        <v/>
      </c>
      <c r="J254" s="391" t="str">
        <f t="shared" si="22"/>
        <v/>
      </c>
      <c r="K254" s="391" t="str">
        <f t="shared" si="23"/>
        <v/>
      </c>
      <c r="O254" s="367">
        <v>233</v>
      </c>
      <c r="P254" t="s">
        <v>1144</v>
      </c>
      <c r="Q254" s="5">
        <v>19.36</v>
      </c>
      <c r="S254" s="1" t="str">
        <v/>
      </c>
      <c r="AC254" s="367" t="str">
        <f t="shared" si="24"/>
        <v/>
      </c>
    </row>
    <row r="255" spans="1:29">
      <c r="A255" s="367" t="str">
        <v/>
      </c>
      <c r="H255" s="391" t="str">
        <f t="shared" si="20"/>
        <v/>
      </c>
      <c r="I255" s="391" t="str">
        <f t="shared" si="21"/>
        <v/>
      </c>
      <c r="J255" s="391" t="str">
        <f t="shared" si="22"/>
        <v/>
      </c>
      <c r="K255" s="391" t="str">
        <f t="shared" si="23"/>
        <v/>
      </c>
      <c r="O255" s="367">
        <v>234</v>
      </c>
      <c r="P255" t="s">
        <v>1145</v>
      </c>
      <c r="Q255" s="5">
        <v>19.36</v>
      </c>
      <c r="S255" s="1" t="str">
        <v/>
      </c>
      <c r="AC255" s="367" t="str">
        <f t="shared" si="24"/>
        <v/>
      </c>
    </row>
    <row r="256" spans="1:29">
      <c r="A256" s="367" t="str">
        <v/>
      </c>
      <c r="H256" s="391" t="str">
        <f t="shared" si="20"/>
        <v/>
      </c>
      <c r="I256" s="391" t="str">
        <f t="shared" si="21"/>
        <v/>
      </c>
      <c r="J256" s="391" t="str">
        <f t="shared" si="22"/>
        <v/>
      </c>
      <c r="K256" s="391" t="str">
        <f t="shared" si="23"/>
        <v/>
      </c>
      <c r="O256" s="367">
        <v>235</v>
      </c>
      <c r="P256" t="s">
        <v>1146</v>
      </c>
      <c r="Q256" s="5">
        <v>19.36</v>
      </c>
      <c r="S256" s="1" t="str">
        <v/>
      </c>
      <c r="AC256" s="367" t="str">
        <f t="shared" si="24"/>
        <v/>
      </c>
    </row>
    <row r="257" spans="1:29">
      <c r="A257" s="367" t="str">
        <v/>
      </c>
      <c r="H257" s="391" t="str">
        <f t="shared" si="20"/>
        <v/>
      </c>
      <c r="I257" s="391" t="str">
        <f t="shared" si="21"/>
        <v/>
      </c>
      <c r="J257" s="391" t="str">
        <f t="shared" si="22"/>
        <v/>
      </c>
      <c r="K257" s="391" t="str">
        <f t="shared" si="23"/>
        <v/>
      </c>
      <c r="O257" s="367">
        <v>236</v>
      </c>
      <c r="P257" t="s">
        <v>1147</v>
      </c>
      <c r="Q257" s="5">
        <v>21.18</v>
      </c>
      <c r="S257" s="1" t="str">
        <v/>
      </c>
      <c r="AC257" s="367" t="str">
        <f t="shared" si="24"/>
        <v/>
      </c>
    </row>
    <row r="258" spans="1:29">
      <c r="A258" s="367" t="str">
        <v/>
      </c>
      <c r="H258" s="391" t="str">
        <f t="shared" si="20"/>
        <v/>
      </c>
      <c r="I258" s="391" t="str">
        <f t="shared" si="21"/>
        <v/>
      </c>
      <c r="J258" s="391" t="str">
        <f t="shared" si="22"/>
        <v/>
      </c>
      <c r="K258" s="391" t="str">
        <f t="shared" si="23"/>
        <v/>
      </c>
      <c r="O258" s="367">
        <v>237</v>
      </c>
      <c r="P258" t="s">
        <v>1345</v>
      </c>
      <c r="Q258" s="5">
        <v>19.36</v>
      </c>
      <c r="S258" s="1" t="str">
        <v/>
      </c>
      <c r="AC258" s="367" t="str">
        <f t="shared" si="24"/>
        <v/>
      </c>
    </row>
    <row r="259" spans="1:29">
      <c r="A259" s="367" t="str">
        <v/>
      </c>
      <c r="H259" s="391" t="str">
        <f t="shared" si="20"/>
        <v/>
      </c>
      <c r="I259" s="391" t="str">
        <f t="shared" si="21"/>
        <v/>
      </c>
      <c r="J259" s="391" t="str">
        <f t="shared" si="22"/>
        <v/>
      </c>
      <c r="K259" s="391" t="str">
        <f t="shared" si="23"/>
        <v/>
      </c>
      <c r="O259" s="367">
        <v>238</v>
      </c>
      <c r="P259" t="s">
        <v>1346</v>
      </c>
      <c r="Q259" s="5">
        <v>21.78</v>
      </c>
      <c r="S259" s="1" t="str">
        <v/>
      </c>
      <c r="AC259" s="367" t="str">
        <f t="shared" si="24"/>
        <v/>
      </c>
    </row>
    <row r="260" spans="1:29">
      <c r="A260" s="367" t="str">
        <v/>
      </c>
      <c r="H260" s="391" t="str">
        <f t="shared" si="20"/>
        <v/>
      </c>
      <c r="I260" s="391" t="str">
        <f t="shared" si="21"/>
        <v/>
      </c>
      <c r="J260" s="391" t="str">
        <f t="shared" si="22"/>
        <v/>
      </c>
      <c r="K260" s="391" t="str">
        <f t="shared" si="23"/>
        <v/>
      </c>
      <c r="O260" s="367">
        <v>239</v>
      </c>
      <c r="P260" t="s">
        <v>1148</v>
      </c>
      <c r="Q260" s="5">
        <v>8.25</v>
      </c>
      <c r="S260" s="1" t="str">
        <v/>
      </c>
      <c r="AC260" s="367" t="str">
        <f t="shared" si="24"/>
        <v/>
      </c>
    </row>
    <row r="261" spans="1:29">
      <c r="A261" s="367" t="str">
        <v/>
      </c>
      <c r="H261" s="391" t="str">
        <f t="shared" si="20"/>
        <v/>
      </c>
      <c r="I261" s="391" t="str">
        <f t="shared" si="21"/>
        <v/>
      </c>
      <c r="J261" s="391" t="str">
        <f t="shared" si="22"/>
        <v/>
      </c>
      <c r="K261" s="391" t="str">
        <f t="shared" si="23"/>
        <v/>
      </c>
      <c r="O261" s="367">
        <v>240</v>
      </c>
      <c r="P261" t="s">
        <v>1149</v>
      </c>
      <c r="Q261" s="5">
        <v>10.45</v>
      </c>
      <c r="S261" s="1" t="str">
        <v/>
      </c>
      <c r="AC261" s="367" t="str">
        <f t="shared" si="24"/>
        <v/>
      </c>
    </row>
    <row r="262" spans="1:29">
      <c r="A262" s="367" t="str">
        <v/>
      </c>
      <c r="H262" s="391" t="str">
        <f t="shared" si="20"/>
        <v/>
      </c>
      <c r="I262" s="391" t="str">
        <f t="shared" si="21"/>
        <v/>
      </c>
      <c r="J262" s="391" t="str">
        <f t="shared" si="22"/>
        <v/>
      </c>
      <c r="K262" s="391" t="str">
        <f t="shared" si="23"/>
        <v/>
      </c>
      <c r="O262" s="367">
        <v>241</v>
      </c>
      <c r="P262" t="s">
        <v>1150</v>
      </c>
      <c r="Q262" s="5">
        <v>11</v>
      </c>
      <c r="S262" s="1" t="str">
        <v/>
      </c>
      <c r="AC262" s="367" t="str">
        <f t="shared" si="24"/>
        <v/>
      </c>
    </row>
    <row r="263" spans="1:29">
      <c r="A263" s="367" t="str">
        <v/>
      </c>
      <c r="H263" s="391" t="str">
        <f t="shared" si="20"/>
        <v/>
      </c>
      <c r="I263" s="391" t="str">
        <f t="shared" si="21"/>
        <v/>
      </c>
      <c r="J263" s="391" t="str">
        <f t="shared" si="22"/>
        <v/>
      </c>
      <c r="K263" s="391" t="str">
        <f t="shared" si="23"/>
        <v/>
      </c>
      <c r="O263" s="367">
        <v>242</v>
      </c>
      <c r="P263" t="s">
        <v>1151</v>
      </c>
      <c r="Q263" s="5">
        <v>12.1</v>
      </c>
      <c r="S263" s="1" t="str">
        <v/>
      </c>
      <c r="AC263" s="367" t="str">
        <f t="shared" si="24"/>
        <v/>
      </c>
    </row>
    <row r="264" spans="1:29">
      <c r="A264" s="367" t="str">
        <v/>
      </c>
      <c r="H264" s="391" t="str">
        <f t="shared" si="20"/>
        <v/>
      </c>
      <c r="I264" s="391" t="str">
        <f t="shared" si="21"/>
        <v/>
      </c>
      <c r="J264" s="391" t="str">
        <f t="shared" si="22"/>
        <v/>
      </c>
      <c r="K264" s="391" t="str">
        <f t="shared" si="23"/>
        <v/>
      </c>
      <c r="O264" s="367">
        <v>243</v>
      </c>
      <c r="P264" t="s">
        <v>1152</v>
      </c>
      <c r="Q264" s="5">
        <v>13.2</v>
      </c>
      <c r="S264" s="1" t="str">
        <v/>
      </c>
      <c r="AC264" s="367" t="str">
        <f t="shared" si="24"/>
        <v/>
      </c>
    </row>
    <row r="265" spans="1:29">
      <c r="A265" s="367" t="str">
        <v/>
      </c>
      <c r="H265" s="391" t="str">
        <f t="shared" si="20"/>
        <v/>
      </c>
      <c r="I265" s="391" t="str">
        <f t="shared" si="21"/>
        <v/>
      </c>
      <c r="J265" s="391" t="str">
        <f t="shared" si="22"/>
        <v/>
      </c>
      <c r="K265" s="391" t="str">
        <f t="shared" si="23"/>
        <v/>
      </c>
      <c r="O265" s="367">
        <v>244</v>
      </c>
      <c r="P265" t="s">
        <v>1153</v>
      </c>
      <c r="Q265" s="5">
        <v>16.5</v>
      </c>
      <c r="S265" s="1" t="str">
        <v/>
      </c>
      <c r="AC265" s="367" t="str">
        <f t="shared" si="24"/>
        <v/>
      </c>
    </row>
    <row r="266" spans="1:29">
      <c r="A266" s="367" t="str">
        <v/>
      </c>
      <c r="H266" s="391" t="str">
        <f t="shared" si="20"/>
        <v/>
      </c>
      <c r="I266" s="391" t="str">
        <f t="shared" si="21"/>
        <v/>
      </c>
      <c r="J266" s="391" t="str">
        <f t="shared" si="22"/>
        <v/>
      </c>
      <c r="K266" s="391" t="str">
        <f t="shared" si="23"/>
        <v/>
      </c>
      <c r="O266" s="367">
        <v>245</v>
      </c>
      <c r="P266" t="s">
        <v>1154</v>
      </c>
      <c r="Q266" s="5">
        <v>18.149999999999999</v>
      </c>
      <c r="S266" s="1" t="str">
        <v/>
      </c>
      <c r="AC266" s="367" t="str">
        <f t="shared" si="24"/>
        <v/>
      </c>
    </row>
    <row r="267" spans="1:29">
      <c r="A267" s="367" t="str">
        <v/>
      </c>
      <c r="H267" s="391" t="str">
        <f t="shared" si="20"/>
        <v/>
      </c>
      <c r="I267" s="391" t="str">
        <f t="shared" si="21"/>
        <v/>
      </c>
      <c r="J267" s="391" t="str">
        <f t="shared" si="22"/>
        <v/>
      </c>
      <c r="K267" s="391" t="str">
        <f t="shared" si="23"/>
        <v/>
      </c>
      <c r="O267" s="367">
        <v>246</v>
      </c>
      <c r="P267" t="s">
        <v>1155</v>
      </c>
      <c r="Q267" s="5">
        <v>23.1</v>
      </c>
      <c r="S267" s="1" t="str">
        <v/>
      </c>
      <c r="AC267" s="367" t="str">
        <f t="shared" si="24"/>
        <v/>
      </c>
    </row>
    <row r="268" spans="1:29">
      <c r="A268" s="367" t="str">
        <v/>
      </c>
      <c r="H268" s="391" t="str">
        <f t="shared" si="20"/>
        <v/>
      </c>
      <c r="I268" s="391" t="str">
        <f t="shared" si="21"/>
        <v/>
      </c>
      <c r="J268" s="391" t="str">
        <f t="shared" si="22"/>
        <v/>
      </c>
      <c r="K268" s="391" t="str">
        <f t="shared" si="23"/>
        <v/>
      </c>
      <c r="O268" s="367">
        <v>247</v>
      </c>
      <c r="P268" t="s">
        <v>1156</v>
      </c>
      <c r="Q268" s="5">
        <v>27.5</v>
      </c>
      <c r="S268" s="1" t="str">
        <v/>
      </c>
      <c r="AC268" s="367" t="str">
        <f t="shared" si="24"/>
        <v/>
      </c>
    </row>
    <row r="269" spans="1:29">
      <c r="A269" s="367" t="str">
        <v/>
      </c>
      <c r="H269" s="391" t="str">
        <f t="shared" si="20"/>
        <v/>
      </c>
      <c r="I269" s="391" t="str">
        <f t="shared" si="21"/>
        <v/>
      </c>
      <c r="J269" s="391" t="str">
        <f t="shared" si="22"/>
        <v/>
      </c>
      <c r="K269" s="391" t="str">
        <f t="shared" si="23"/>
        <v/>
      </c>
      <c r="O269" s="367">
        <v>248</v>
      </c>
      <c r="P269" t="s">
        <v>1157</v>
      </c>
      <c r="Q269" s="5">
        <v>9.35</v>
      </c>
      <c r="S269" s="1" t="str">
        <v/>
      </c>
      <c r="AC269" s="367" t="str">
        <f t="shared" si="24"/>
        <v/>
      </c>
    </row>
    <row r="270" spans="1:29">
      <c r="A270" s="367" t="str">
        <v/>
      </c>
      <c r="H270" s="391" t="str">
        <f t="shared" si="20"/>
        <v/>
      </c>
      <c r="I270" s="391" t="str">
        <f t="shared" si="21"/>
        <v/>
      </c>
      <c r="J270" s="391" t="str">
        <f t="shared" si="22"/>
        <v/>
      </c>
      <c r="K270" s="391" t="str">
        <f t="shared" si="23"/>
        <v/>
      </c>
      <c r="O270" s="367">
        <v>249</v>
      </c>
      <c r="P270" t="s">
        <v>1158</v>
      </c>
      <c r="Q270" s="5">
        <v>11.55</v>
      </c>
      <c r="S270" s="1" t="str">
        <v/>
      </c>
      <c r="AC270" s="367" t="str">
        <f t="shared" si="24"/>
        <v/>
      </c>
    </row>
    <row r="271" spans="1:29">
      <c r="A271" s="367" t="str">
        <v/>
      </c>
      <c r="H271" s="391" t="str">
        <f t="shared" si="20"/>
        <v/>
      </c>
      <c r="I271" s="391" t="str">
        <f t="shared" si="21"/>
        <v/>
      </c>
      <c r="J271" s="391" t="str">
        <f t="shared" si="22"/>
        <v/>
      </c>
      <c r="K271" s="391" t="str">
        <f t="shared" si="23"/>
        <v/>
      </c>
      <c r="O271" s="367">
        <v>250</v>
      </c>
      <c r="P271" t="s">
        <v>1159</v>
      </c>
      <c r="Q271" s="5">
        <v>12.1</v>
      </c>
      <c r="S271" s="1" t="str">
        <v/>
      </c>
      <c r="AC271" s="367" t="str">
        <f t="shared" si="24"/>
        <v/>
      </c>
    </row>
    <row r="272" spans="1:29">
      <c r="A272" s="367" t="str">
        <v/>
      </c>
      <c r="H272" s="391" t="str">
        <f t="shared" si="20"/>
        <v/>
      </c>
      <c r="I272" s="391" t="str">
        <f t="shared" si="21"/>
        <v/>
      </c>
      <c r="J272" s="391" t="str">
        <f t="shared" si="22"/>
        <v/>
      </c>
      <c r="K272" s="391" t="str">
        <f t="shared" si="23"/>
        <v/>
      </c>
      <c r="O272" s="367">
        <v>251</v>
      </c>
      <c r="P272" t="s">
        <v>1160</v>
      </c>
      <c r="Q272" s="5">
        <v>13.2</v>
      </c>
      <c r="S272" s="1" t="str">
        <v/>
      </c>
      <c r="AC272" s="367" t="str">
        <f t="shared" si="24"/>
        <v/>
      </c>
    </row>
    <row r="273" spans="1:29">
      <c r="A273" s="367" t="str">
        <v/>
      </c>
      <c r="H273" s="391" t="str">
        <f t="shared" si="20"/>
        <v/>
      </c>
      <c r="I273" s="391" t="str">
        <f t="shared" si="21"/>
        <v/>
      </c>
      <c r="J273" s="391" t="str">
        <f t="shared" si="22"/>
        <v/>
      </c>
      <c r="K273" s="391" t="str">
        <f t="shared" si="23"/>
        <v/>
      </c>
      <c r="O273" s="367">
        <v>252</v>
      </c>
      <c r="P273" t="s">
        <v>1161</v>
      </c>
      <c r="Q273" s="5">
        <v>14.3</v>
      </c>
      <c r="S273" s="1" t="str">
        <v/>
      </c>
      <c r="AC273" s="367" t="str">
        <f t="shared" si="24"/>
        <v/>
      </c>
    </row>
    <row r="274" spans="1:29">
      <c r="A274" s="367" t="str">
        <v/>
      </c>
      <c r="H274" s="391" t="str">
        <f t="shared" si="20"/>
        <v/>
      </c>
      <c r="I274" s="391" t="str">
        <f t="shared" si="21"/>
        <v/>
      </c>
      <c r="J274" s="391" t="str">
        <f t="shared" si="22"/>
        <v/>
      </c>
      <c r="K274" s="391" t="str">
        <f t="shared" si="23"/>
        <v/>
      </c>
      <c r="O274" s="367">
        <v>253</v>
      </c>
      <c r="P274" t="s">
        <v>1162</v>
      </c>
      <c r="Q274" s="5">
        <v>17.600000000000001</v>
      </c>
      <c r="S274" s="1" t="str">
        <v/>
      </c>
      <c r="AC274" s="367" t="str">
        <f t="shared" si="24"/>
        <v/>
      </c>
    </row>
    <row r="275" spans="1:29">
      <c r="A275" s="367" t="str">
        <v/>
      </c>
      <c r="H275" s="391" t="str">
        <f t="shared" si="20"/>
        <v/>
      </c>
      <c r="I275" s="391" t="str">
        <f t="shared" si="21"/>
        <v/>
      </c>
      <c r="J275" s="391" t="str">
        <f t="shared" si="22"/>
        <v/>
      </c>
      <c r="K275" s="391" t="str">
        <f t="shared" si="23"/>
        <v/>
      </c>
      <c r="O275" s="367">
        <v>254</v>
      </c>
      <c r="P275" t="s">
        <v>1163</v>
      </c>
      <c r="Q275" s="5">
        <v>19.25</v>
      </c>
      <c r="S275" s="1" t="str">
        <v/>
      </c>
      <c r="AC275" s="367" t="str">
        <f t="shared" si="24"/>
        <v/>
      </c>
    </row>
    <row r="276" spans="1:29">
      <c r="A276" s="367" t="str">
        <v/>
      </c>
      <c r="H276" s="391" t="str">
        <f t="shared" si="20"/>
        <v/>
      </c>
      <c r="I276" s="391" t="str">
        <f t="shared" si="21"/>
        <v/>
      </c>
      <c r="J276" s="391" t="str">
        <f t="shared" si="22"/>
        <v/>
      </c>
      <c r="K276" s="391" t="str">
        <f t="shared" si="23"/>
        <v/>
      </c>
      <c r="O276" s="367">
        <v>255</v>
      </c>
      <c r="P276" t="s">
        <v>1164</v>
      </c>
      <c r="Q276" s="5">
        <v>24.2</v>
      </c>
      <c r="S276" s="1" t="str">
        <v/>
      </c>
      <c r="AC276" s="367" t="str">
        <f t="shared" si="24"/>
        <v/>
      </c>
    </row>
    <row r="277" spans="1:29">
      <c r="A277" s="367" t="str">
        <v/>
      </c>
      <c r="H277" s="391" t="str">
        <f t="shared" si="20"/>
        <v/>
      </c>
      <c r="I277" s="391" t="str">
        <f t="shared" si="21"/>
        <v/>
      </c>
      <c r="J277" s="391" t="str">
        <f t="shared" si="22"/>
        <v/>
      </c>
      <c r="K277" s="391" t="str">
        <f t="shared" si="23"/>
        <v/>
      </c>
      <c r="O277" s="367">
        <v>256</v>
      </c>
      <c r="P277" t="s">
        <v>1165</v>
      </c>
      <c r="Q277" s="5">
        <v>28.6</v>
      </c>
      <c r="S277" s="1" t="str">
        <v/>
      </c>
      <c r="AC277" s="367" t="str">
        <f t="shared" si="24"/>
        <v/>
      </c>
    </row>
    <row r="278" spans="1:29">
      <c r="A278" s="367" t="str">
        <v/>
      </c>
      <c r="H278" s="391" t="str">
        <f t="shared" si="20"/>
        <v/>
      </c>
      <c r="I278" s="391" t="str">
        <f t="shared" si="21"/>
        <v/>
      </c>
      <c r="J278" s="391" t="str">
        <f t="shared" si="22"/>
        <v/>
      </c>
      <c r="K278" s="391" t="str">
        <f t="shared" si="23"/>
        <v/>
      </c>
      <c r="O278" s="367">
        <v>257</v>
      </c>
      <c r="P278" t="s">
        <v>1166</v>
      </c>
      <c r="Q278" s="5">
        <v>10.45</v>
      </c>
      <c r="S278" s="1" t="str">
        <v/>
      </c>
      <c r="AC278" s="367" t="str">
        <f t="shared" si="24"/>
        <v/>
      </c>
    </row>
    <row r="279" spans="1:29">
      <c r="A279" s="367" t="str">
        <v/>
      </c>
      <c r="H279" s="391" t="str">
        <f t="shared" ref="H279:H342" si="25">IF($C279="","",ROUND((($B$2*$F279*($B$5/1000))/$B$6)*(1+IF($B$18="",0,$B$18)),2))</f>
        <v/>
      </c>
      <c r="I279" s="391" t="str">
        <f t="shared" ref="I279:I342" si="26">IF($C279="","",ROUND((($B$3*$F279*($B$5/1000))/$B$6)*(1+IF($B$18="",0,$B$18)),2))</f>
        <v/>
      </c>
      <c r="J279" s="391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1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7">
        <v>258</v>
      </c>
      <c r="P279" t="s">
        <v>1167</v>
      </c>
      <c r="Q279" s="5">
        <v>12.65</v>
      </c>
      <c r="S279" s="1" t="str">
        <v/>
      </c>
      <c r="AC279" s="367" t="str">
        <f t="shared" si="24"/>
        <v/>
      </c>
    </row>
    <row r="280" spans="1:29">
      <c r="A280" s="367" t="str">
        <v/>
      </c>
      <c r="H280" s="391" t="str">
        <f t="shared" si="25"/>
        <v/>
      </c>
      <c r="I280" s="391" t="str">
        <f t="shared" si="26"/>
        <v/>
      </c>
      <c r="J280" s="391" t="str">
        <f t="shared" si="27"/>
        <v/>
      </c>
      <c r="K280" s="391" t="str">
        <f t="shared" si="28"/>
        <v/>
      </c>
      <c r="O280" s="367">
        <v>259</v>
      </c>
      <c r="P280" t="s">
        <v>1168</v>
      </c>
      <c r="Q280" s="5">
        <v>13.2</v>
      </c>
      <c r="S280" s="1" t="str">
        <v/>
      </c>
      <c r="AC280" s="367" t="str">
        <f t="shared" si="24"/>
        <v/>
      </c>
    </row>
    <row r="281" spans="1:29">
      <c r="A281" s="367" t="str">
        <v/>
      </c>
      <c r="H281" s="391" t="str">
        <f t="shared" si="25"/>
        <v/>
      </c>
      <c r="I281" s="391" t="str">
        <f t="shared" si="26"/>
        <v/>
      </c>
      <c r="J281" s="391" t="str">
        <f t="shared" si="27"/>
        <v/>
      </c>
      <c r="K281" s="391" t="str">
        <f t="shared" si="28"/>
        <v/>
      </c>
      <c r="O281" s="367">
        <v>260</v>
      </c>
      <c r="P281" t="s">
        <v>1169</v>
      </c>
      <c r="Q281" s="5">
        <v>14.3</v>
      </c>
      <c r="S281" s="1" t="str">
        <v/>
      </c>
      <c r="AC281" s="367" t="str">
        <f t="shared" si="24"/>
        <v/>
      </c>
    </row>
    <row r="282" spans="1:29">
      <c r="A282" s="367" t="str">
        <v/>
      </c>
      <c r="H282" s="391" t="str">
        <f t="shared" si="25"/>
        <v/>
      </c>
      <c r="I282" s="391" t="str">
        <f t="shared" si="26"/>
        <v/>
      </c>
      <c r="J282" s="391" t="str">
        <f t="shared" si="27"/>
        <v/>
      </c>
      <c r="K282" s="391" t="str">
        <f t="shared" si="28"/>
        <v/>
      </c>
      <c r="O282" s="367">
        <v>261</v>
      </c>
      <c r="P282" t="s">
        <v>1170</v>
      </c>
      <c r="Q282" s="5">
        <v>15.4</v>
      </c>
      <c r="S282" s="1" t="str">
        <v/>
      </c>
      <c r="AC282" s="367" t="str">
        <f t="shared" si="24"/>
        <v/>
      </c>
    </row>
    <row r="283" spans="1:29">
      <c r="A283" s="367" t="str">
        <v/>
      </c>
      <c r="H283" s="391" t="str">
        <f t="shared" si="25"/>
        <v/>
      </c>
      <c r="I283" s="391" t="str">
        <f t="shared" si="26"/>
        <v/>
      </c>
      <c r="J283" s="391" t="str">
        <f t="shared" si="27"/>
        <v/>
      </c>
      <c r="K283" s="391" t="str">
        <f t="shared" si="28"/>
        <v/>
      </c>
      <c r="O283" s="367">
        <v>262</v>
      </c>
      <c r="P283" t="s">
        <v>1171</v>
      </c>
      <c r="Q283" s="5">
        <v>18.7</v>
      </c>
      <c r="S283" s="1" t="str">
        <v/>
      </c>
      <c r="AC283" s="367" t="str">
        <f t="shared" si="24"/>
        <v/>
      </c>
    </row>
    <row r="284" spans="1:29">
      <c r="A284" s="367" t="str">
        <v/>
      </c>
      <c r="H284" s="391" t="str">
        <f t="shared" si="25"/>
        <v/>
      </c>
      <c r="I284" s="391" t="str">
        <f t="shared" si="26"/>
        <v/>
      </c>
      <c r="J284" s="391" t="str">
        <f t="shared" si="27"/>
        <v/>
      </c>
      <c r="K284" s="391" t="str">
        <f t="shared" si="28"/>
        <v/>
      </c>
      <c r="O284" s="367">
        <v>263</v>
      </c>
      <c r="P284" t="s">
        <v>1172</v>
      </c>
      <c r="Q284" s="5">
        <v>20.350000000000001</v>
      </c>
      <c r="S284" s="1" t="str">
        <v/>
      </c>
      <c r="AC284" s="367" t="str">
        <f t="shared" si="24"/>
        <v/>
      </c>
    </row>
    <row r="285" spans="1:29">
      <c r="A285" s="367" t="str">
        <v/>
      </c>
      <c r="H285" s="391" t="str">
        <f t="shared" si="25"/>
        <v/>
      </c>
      <c r="I285" s="391" t="str">
        <f t="shared" si="26"/>
        <v/>
      </c>
      <c r="J285" s="391" t="str">
        <f t="shared" si="27"/>
        <v/>
      </c>
      <c r="K285" s="391" t="str">
        <f t="shared" si="28"/>
        <v/>
      </c>
      <c r="O285" s="367">
        <v>264</v>
      </c>
      <c r="P285" t="s">
        <v>1173</v>
      </c>
      <c r="Q285" s="5">
        <v>25.3</v>
      </c>
      <c r="S285" s="1" t="str">
        <v/>
      </c>
      <c r="AC285" s="367" t="str">
        <f t="shared" si="24"/>
        <v/>
      </c>
    </row>
    <row r="286" spans="1:29">
      <c r="A286" s="367" t="str">
        <v/>
      </c>
      <c r="H286" s="391" t="str">
        <f t="shared" si="25"/>
        <v/>
      </c>
      <c r="I286" s="391" t="str">
        <f t="shared" si="26"/>
        <v/>
      </c>
      <c r="J286" s="391" t="str">
        <f t="shared" si="27"/>
        <v/>
      </c>
      <c r="K286" s="391" t="str">
        <f t="shared" si="28"/>
        <v/>
      </c>
      <c r="O286" s="367">
        <v>265</v>
      </c>
      <c r="P286" t="s">
        <v>1174</v>
      </c>
      <c r="Q286" s="5">
        <v>29.7</v>
      </c>
      <c r="S286" s="1" t="str">
        <v/>
      </c>
      <c r="AC286" s="367" t="str">
        <f t="shared" si="24"/>
        <v/>
      </c>
    </row>
    <row r="287" spans="1:29">
      <c r="A287" s="367" t="str">
        <v/>
      </c>
      <c r="H287" s="391" t="str">
        <f t="shared" si="25"/>
        <v/>
      </c>
      <c r="I287" s="391" t="str">
        <f t="shared" si="26"/>
        <v/>
      </c>
      <c r="J287" s="391" t="str">
        <f t="shared" si="27"/>
        <v/>
      </c>
      <c r="K287" s="391" t="str">
        <f t="shared" si="28"/>
        <v/>
      </c>
      <c r="O287" s="367">
        <v>266</v>
      </c>
      <c r="P287" t="s">
        <v>1175</v>
      </c>
      <c r="Q287" s="5">
        <v>12.65</v>
      </c>
      <c r="S287" s="1" t="str">
        <v/>
      </c>
      <c r="AC287" s="367" t="str">
        <f t="shared" si="24"/>
        <v/>
      </c>
    </row>
    <row r="288" spans="1:29">
      <c r="A288" s="367" t="str">
        <v/>
      </c>
      <c r="H288" s="391" t="str">
        <f t="shared" si="25"/>
        <v/>
      </c>
      <c r="I288" s="391" t="str">
        <f t="shared" si="26"/>
        <v/>
      </c>
      <c r="J288" s="391" t="str">
        <f t="shared" si="27"/>
        <v/>
      </c>
      <c r="K288" s="391" t="str">
        <f t="shared" si="28"/>
        <v/>
      </c>
      <c r="O288" s="367">
        <v>267</v>
      </c>
      <c r="P288" t="s">
        <v>1176</v>
      </c>
      <c r="Q288" s="5">
        <v>14.85</v>
      </c>
      <c r="S288" s="1" t="str">
        <v/>
      </c>
      <c r="AC288" s="367" t="str">
        <f t="shared" si="24"/>
        <v/>
      </c>
    </row>
    <row r="289" spans="1:29">
      <c r="A289" s="367" t="str">
        <v/>
      </c>
      <c r="H289" s="391" t="str">
        <f t="shared" si="25"/>
        <v/>
      </c>
      <c r="I289" s="391" t="str">
        <f t="shared" si="26"/>
        <v/>
      </c>
      <c r="J289" s="391" t="str">
        <f t="shared" si="27"/>
        <v/>
      </c>
      <c r="K289" s="391" t="str">
        <f t="shared" si="28"/>
        <v/>
      </c>
      <c r="O289" s="367">
        <v>268</v>
      </c>
      <c r="P289" t="s">
        <v>1177</v>
      </c>
      <c r="Q289" s="5">
        <v>15.4</v>
      </c>
      <c r="S289" s="1" t="str">
        <v/>
      </c>
      <c r="AC289" s="367" t="str">
        <f t="shared" si="24"/>
        <v/>
      </c>
    </row>
    <row r="290" spans="1:29">
      <c r="A290" s="367" t="str">
        <v/>
      </c>
      <c r="H290" s="391" t="str">
        <f t="shared" si="25"/>
        <v/>
      </c>
      <c r="I290" s="391" t="str">
        <f t="shared" si="26"/>
        <v/>
      </c>
      <c r="J290" s="391" t="str">
        <f t="shared" si="27"/>
        <v/>
      </c>
      <c r="K290" s="391" t="str">
        <f t="shared" si="28"/>
        <v/>
      </c>
      <c r="O290" s="367">
        <v>269</v>
      </c>
      <c r="P290" t="s">
        <v>1178</v>
      </c>
      <c r="Q290" s="5">
        <v>16.5</v>
      </c>
      <c r="S290" s="1" t="str">
        <v/>
      </c>
      <c r="AC290" s="367" t="str">
        <f t="shared" si="24"/>
        <v/>
      </c>
    </row>
    <row r="291" spans="1:29">
      <c r="A291" s="367" t="str">
        <v/>
      </c>
      <c r="H291" s="391" t="str">
        <f t="shared" si="25"/>
        <v/>
      </c>
      <c r="I291" s="391" t="str">
        <f t="shared" si="26"/>
        <v/>
      </c>
      <c r="J291" s="391" t="str">
        <f t="shared" si="27"/>
        <v/>
      </c>
      <c r="K291" s="391" t="str">
        <f t="shared" si="28"/>
        <v/>
      </c>
      <c r="O291" s="367">
        <v>270</v>
      </c>
      <c r="P291" t="s">
        <v>1179</v>
      </c>
      <c r="Q291" s="5">
        <v>17.600000000000001</v>
      </c>
      <c r="S291" s="1" t="str">
        <v/>
      </c>
      <c r="AC291" s="367" t="str">
        <f t="shared" si="24"/>
        <v/>
      </c>
    </row>
    <row r="292" spans="1:29">
      <c r="A292" s="367" t="str">
        <v/>
      </c>
      <c r="H292" s="391" t="str">
        <f t="shared" si="25"/>
        <v/>
      </c>
      <c r="I292" s="391" t="str">
        <f t="shared" si="26"/>
        <v/>
      </c>
      <c r="J292" s="391" t="str">
        <f t="shared" si="27"/>
        <v/>
      </c>
      <c r="K292" s="391" t="str">
        <f t="shared" si="28"/>
        <v/>
      </c>
      <c r="O292" s="367">
        <v>271</v>
      </c>
      <c r="P292" t="s">
        <v>1180</v>
      </c>
      <c r="Q292" s="5">
        <v>20.9</v>
      </c>
      <c r="S292" s="1" t="str">
        <v/>
      </c>
      <c r="AC292" s="367" t="str">
        <f t="shared" si="24"/>
        <v/>
      </c>
    </row>
    <row r="293" spans="1:29">
      <c r="A293" s="367" t="str">
        <v/>
      </c>
      <c r="H293" s="391" t="str">
        <f t="shared" si="25"/>
        <v/>
      </c>
      <c r="I293" s="391" t="str">
        <f t="shared" si="26"/>
        <v/>
      </c>
      <c r="J293" s="391" t="str">
        <f t="shared" si="27"/>
        <v/>
      </c>
      <c r="K293" s="391" t="str">
        <f t="shared" si="28"/>
        <v/>
      </c>
      <c r="O293" s="367">
        <v>272</v>
      </c>
      <c r="P293" t="s">
        <v>1181</v>
      </c>
      <c r="Q293" s="5">
        <v>22.55</v>
      </c>
      <c r="S293" s="1" t="str">
        <v/>
      </c>
      <c r="AC293" s="367" t="str">
        <f t="shared" si="24"/>
        <v/>
      </c>
    </row>
    <row r="294" spans="1:29">
      <c r="A294" s="367" t="str">
        <v/>
      </c>
      <c r="H294" s="391" t="str">
        <f t="shared" si="25"/>
        <v/>
      </c>
      <c r="I294" s="391" t="str">
        <f t="shared" si="26"/>
        <v/>
      </c>
      <c r="J294" s="391" t="str">
        <f t="shared" si="27"/>
        <v/>
      </c>
      <c r="K294" s="391" t="str">
        <f t="shared" si="28"/>
        <v/>
      </c>
      <c r="O294" s="367">
        <v>273</v>
      </c>
      <c r="P294" t="s">
        <v>1182</v>
      </c>
      <c r="Q294" s="5">
        <v>27.5</v>
      </c>
      <c r="S294" s="1" t="str">
        <v/>
      </c>
      <c r="AC294" s="367" t="str">
        <f t="shared" si="24"/>
        <v/>
      </c>
    </row>
    <row r="295" spans="1:29">
      <c r="A295" s="367" t="str">
        <v/>
      </c>
      <c r="H295" s="391" t="str">
        <f t="shared" si="25"/>
        <v/>
      </c>
      <c r="I295" s="391" t="str">
        <f t="shared" si="26"/>
        <v/>
      </c>
      <c r="J295" s="391" t="str">
        <f t="shared" si="27"/>
        <v/>
      </c>
      <c r="K295" s="391" t="str">
        <f t="shared" si="28"/>
        <v/>
      </c>
      <c r="O295" s="367">
        <v>274</v>
      </c>
      <c r="P295" t="s">
        <v>1183</v>
      </c>
      <c r="Q295" s="5">
        <v>31.9</v>
      </c>
      <c r="S295" s="1" t="str">
        <v/>
      </c>
      <c r="AC295" s="367" t="str">
        <f t="shared" si="24"/>
        <v/>
      </c>
    </row>
    <row r="296" spans="1:29">
      <c r="A296" s="367" t="str">
        <v/>
      </c>
      <c r="H296" s="391" t="str">
        <f t="shared" si="25"/>
        <v/>
      </c>
      <c r="I296" s="391" t="str">
        <f t="shared" si="26"/>
        <v/>
      </c>
      <c r="J296" s="391" t="str">
        <f t="shared" si="27"/>
        <v/>
      </c>
      <c r="K296" s="391" t="str">
        <f t="shared" si="28"/>
        <v/>
      </c>
      <c r="O296" s="367">
        <v>275</v>
      </c>
      <c r="P296" t="s">
        <v>1224</v>
      </c>
      <c r="Q296" s="5">
        <v>8.25</v>
      </c>
      <c r="S296" s="1" t="str">
        <v/>
      </c>
      <c r="AC296" s="367" t="str">
        <f t="shared" si="24"/>
        <v/>
      </c>
    </row>
    <row r="297" spans="1:29">
      <c r="A297" s="367" t="str">
        <v/>
      </c>
      <c r="H297" s="391" t="str">
        <f t="shared" si="25"/>
        <v/>
      </c>
      <c r="I297" s="391" t="str">
        <f t="shared" si="26"/>
        <v/>
      </c>
      <c r="J297" s="391" t="str">
        <f t="shared" si="27"/>
        <v/>
      </c>
      <c r="K297" s="391" t="str">
        <f t="shared" si="28"/>
        <v/>
      </c>
      <c r="O297" s="367">
        <v>276</v>
      </c>
      <c r="P297" t="s">
        <v>1225</v>
      </c>
      <c r="Q297" s="5">
        <v>10.45</v>
      </c>
      <c r="S297" s="1" t="str">
        <v/>
      </c>
      <c r="AC297" s="367" t="str">
        <f t="shared" si="24"/>
        <v/>
      </c>
    </row>
    <row r="298" spans="1:29">
      <c r="A298" s="367" t="str">
        <v/>
      </c>
      <c r="H298" s="391" t="str">
        <f t="shared" si="25"/>
        <v/>
      </c>
      <c r="I298" s="391" t="str">
        <f t="shared" si="26"/>
        <v/>
      </c>
      <c r="J298" s="391" t="str">
        <f t="shared" si="27"/>
        <v/>
      </c>
      <c r="K298" s="391" t="str">
        <f t="shared" si="28"/>
        <v/>
      </c>
      <c r="O298" s="367">
        <v>277</v>
      </c>
      <c r="P298" t="s">
        <v>1226</v>
      </c>
      <c r="Q298" s="5">
        <v>11</v>
      </c>
      <c r="S298" s="1" t="str">
        <v/>
      </c>
      <c r="AC298" s="367" t="str">
        <f t="shared" si="24"/>
        <v/>
      </c>
    </row>
    <row r="299" spans="1:29">
      <c r="A299" s="367" t="str">
        <v/>
      </c>
      <c r="H299" s="391" t="str">
        <f t="shared" si="25"/>
        <v/>
      </c>
      <c r="I299" s="391" t="str">
        <f t="shared" si="26"/>
        <v/>
      </c>
      <c r="J299" s="391" t="str">
        <f t="shared" si="27"/>
        <v/>
      </c>
      <c r="K299" s="391" t="str">
        <f t="shared" si="28"/>
        <v/>
      </c>
      <c r="O299" s="367">
        <v>278</v>
      </c>
      <c r="P299" t="s">
        <v>1227</v>
      </c>
      <c r="Q299" s="5">
        <v>12.1</v>
      </c>
      <c r="S299" s="1" t="str">
        <v/>
      </c>
      <c r="AC299" s="367" t="str">
        <f t="shared" si="24"/>
        <v/>
      </c>
    </row>
    <row r="300" spans="1:29">
      <c r="A300" s="367" t="str">
        <v/>
      </c>
      <c r="H300" s="391" t="str">
        <f t="shared" si="25"/>
        <v/>
      </c>
      <c r="I300" s="391" t="str">
        <f t="shared" si="26"/>
        <v/>
      </c>
      <c r="J300" s="391" t="str">
        <f t="shared" si="27"/>
        <v/>
      </c>
      <c r="K300" s="391" t="str">
        <f t="shared" si="28"/>
        <v/>
      </c>
      <c r="O300" s="367">
        <v>279</v>
      </c>
      <c r="P300" t="s">
        <v>1228</v>
      </c>
      <c r="Q300" s="5">
        <v>13.2</v>
      </c>
      <c r="S300" s="1" t="str">
        <v/>
      </c>
      <c r="AC300" s="367" t="str">
        <f t="shared" si="24"/>
        <v/>
      </c>
    </row>
    <row r="301" spans="1:29">
      <c r="A301" s="367" t="str">
        <v/>
      </c>
      <c r="H301" s="391" t="str">
        <f t="shared" si="25"/>
        <v/>
      </c>
      <c r="I301" s="391" t="str">
        <f t="shared" si="26"/>
        <v/>
      </c>
      <c r="J301" s="391" t="str">
        <f t="shared" si="27"/>
        <v/>
      </c>
      <c r="K301" s="391" t="str">
        <f t="shared" si="28"/>
        <v/>
      </c>
      <c r="O301" s="367">
        <v>280</v>
      </c>
      <c r="P301" t="s">
        <v>1229</v>
      </c>
      <c r="Q301" s="5">
        <v>16.5</v>
      </c>
      <c r="S301" s="1" t="str">
        <v/>
      </c>
      <c r="AC301" s="367" t="str">
        <f t="shared" si="24"/>
        <v/>
      </c>
    </row>
    <row r="302" spans="1:29">
      <c r="A302" s="367" t="str">
        <v/>
      </c>
      <c r="H302" s="391" t="str">
        <f t="shared" si="25"/>
        <v/>
      </c>
      <c r="I302" s="391" t="str">
        <f t="shared" si="26"/>
        <v/>
      </c>
      <c r="J302" s="391" t="str">
        <f t="shared" si="27"/>
        <v/>
      </c>
      <c r="K302" s="391" t="str">
        <f t="shared" si="28"/>
        <v/>
      </c>
      <c r="O302" s="367">
        <v>281</v>
      </c>
      <c r="P302" t="s">
        <v>1230</v>
      </c>
      <c r="Q302" s="5">
        <v>18.149999999999999</v>
      </c>
      <c r="S302" s="1" t="str">
        <v/>
      </c>
      <c r="AC302" s="367" t="str">
        <f t="shared" si="24"/>
        <v/>
      </c>
    </row>
    <row r="303" spans="1:29">
      <c r="A303" s="367" t="str">
        <v/>
      </c>
      <c r="H303" s="391" t="str">
        <f t="shared" si="25"/>
        <v/>
      </c>
      <c r="I303" s="391" t="str">
        <f t="shared" si="26"/>
        <v/>
      </c>
      <c r="J303" s="391" t="str">
        <f t="shared" si="27"/>
        <v/>
      </c>
      <c r="K303" s="391" t="str">
        <f t="shared" si="28"/>
        <v/>
      </c>
      <c r="O303" s="367">
        <v>282</v>
      </c>
      <c r="P303" t="s">
        <v>1231</v>
      </c>
      <c r="Q303" s="5">
        <v>23.1</v>
      </c>
      <c r="S303" s="1" t="str">
        <v/>
      </c>
      <c r="AC303" s="367" t="str">
        <f t="shared" si="24"/>
        <v/>
      </c>
    </row>
    <row r="304" spans="1:29">
      <c r="A304" s="367" t="str">
        <v/>
      </c>
      <c r="H304" s="391" t="str">
        <f t="shared" si="25"/>
        <v/>
      </c>
      <c r="I304" s="391" t="str">
        <f t="shared" si="26"/>
        <v/>
      </c>
      <c r="J304" s="391" t="str">
        <f t="shared" si="27"/>
        <v/>
      </c>
      <c r="K304" s="391" t="str">
        <f t="shared" si="28"/>
        <v/>
      </c>
      <c r="O304" s="367">
        <v>283</v>
      </c>
      <c r="P304" t="s">
        <v>1232</v>
      </c>
      <c r="Q304" s="5">
        <v>27.5</v>
      </c>
      <c r="S304" s="1" t="str">
        <v/>
      </c>
      <c r="AC304" s="367" t="str">
        <f t="shared" ref="AC304:AC367" si="29">IF($AB304&lt;&gt;"",$AB304,IFERROR(ROUNDUP($Z304/$Y304,1),""))</f>
        <v/>
      </c>
    </row>
    <row r="305" spans="1:29">
      <c r="A305" s="367" t="str">
        <v/>
      </c>
      <c r="H305" s="391" t="str">
        <f t="shared" si="25"/>
        <v/>
      </c>
      <c r="I305" s="391" t="str">
        <f t="shared" si="26"/>
        <v/>
      </c>
      <c r="J305" s="391" t="str">
        <f t="shared" si="27"/>
        <v/>
      </c>
      <c r="K305" s="391" t="str">
        <f t="shared" si="28"/>
        <v/>
      </c>
      <c r="O305" s="367">
        <v>284</v>
      </c>
      <c r="P305" t="s">
        <v>1233</v>
      </c>
      <c r="Q305" s="5">
        <v>9.35</v>
      </c>
      <c r="S305" s="1" t="str">
        <v/>
      </c>
      <c r="AC305" s="367" t="str">
        <f t="shared" si="29"/>
        <v/>
      </c>
    </row>
    <row r="306" spans="1:29">
      <c r="A306" s="367" t="str">
        <v/>
      </c>
      <c r="H306" s="391" t="str">
        <f t="shared" si="25"/>
        <v/>
      </c>
      <c r="I306" s="391" t="str">
        <f t="shared" si="26"/>
        <v/>
      </c>
      <c r="J306" s="391" t="str">
        <f t="shared" si="27"/>
        <v/>
      </c>
      <c r="K306" s="391" t="str">
        <f t="shared" si="28"/>
        <v/>
      </c>
      <c r="O306" s="367">
        <v>285</v>
      </c>
      <c r="P306" t="s">
        <v>1234</v>
      </c>
      <c r="Q306" s="5">
        <v>11.55</v>
      </c>
      <c r="S306" s="1" t="str">
        <v/>
      </c>
      <c r="AC306" s="367" t="str">
        <f t="shared" si="29"/>
        <v/>
      </c>
    </row>
    <row r="307" spans="1:29">
      <c r="A307" s="367" t="str">
        <v/>
      </c>
      <c r="H307" s="391" t="str">
        <f t="shared" si="25"/>
        <v/>
      </c>
      <c r="I307" s="391" t="str">
        <f t="shared" si="26"/>
        <v/>
      </c>
      <c r="J307" s="391" t="str">
        <f t="shared" si="27"/>
        <v/>
      </c>
      <c r="K307" s="391" t="str">
        <f t="shared" si="28"/>
        <v/>
      </c>
      <c r="O307" s="367">
        <v>286</v>
      </c>
      <c r="P307" t="s">
        <v>1235</v>
      </c>
      <c r="Q307" s="5">
        <v>12.1</v>
      </c>
      <c r="S307" s="1" t="str">
        <v/>
      </c>
      <c r="AC307" s="367" t="str">
        <f t="shared" si="29"/>
        <v/>
      </c>
    </row>
    <row r="308" spans="1:29">
      <c r="A308" s="367" t="str">
        <v/>
      </c>
      <c r="H308" s="391" t="str">
        <f t="shared" si="25"/>
        <v/>
      </c>
      <c r="I308" s="391" t="str">
        <f t="shared" si="26"/>
        <v/>
      </c>
      <c r="J308" s="391" t="str">
        <f t="shared" si="27"/>
        <v/>
      </c>
      <c r="K308" s="391" t="str">
        <f t="shared" si="28"/>
        <v/>
      </c>
      <c r="O308" s="367">
        <v>287</v>
      </c>
      <c r="P308" t="s">
        <v>1236</v>
      </c>
      <c r="Q308" s="5">
        <v>13.2</v>
      </c>
      <c r="S308" s="1" t="str">
        <v/>
      </c>
      <c r="AC308" s="367" t="str">
        <f t="shared" si="29"/>
        <v/>
      </c>
    </row>
    <row r="309" spans="1:29">
      <c r="A309" s="367" t="str">
        <v/>
      </c>
      <c r="H309" s="391" t="str">
        <f t="shared" si="25"/>
        <v/>
      </c>
      <c r="I309" s="391" t="str">
        <f t="shared" si="26"/>
        <v/>
      </c>
      <c r="J309" s="391" t="str">
        <f t="shared" si="27"/>
        <v/>
      </c>
      <c r="K309" s="391" t="str">
        <f t="shared" si="28"/>
        <v/>
      </c>
      <c r="O309" s="367">
        <v>288</v>
      </c>
      <c r="P309" t="s">
        <v>1237</v>
      </c>
      <c r="Q309" s="5">
        <v>14.3</v>
      </c>
      <c r="S309" s="1" t="str">
        <v/>
      </c>
      <c r="AC309" s="367" t="str">
        <f t="shared" si="29"/>
        <v/>
      </c>
    </row>
    <row r="310" spans="1:29">
      <c r="A310" s="367" t="str">
        <v/>
      </c>
      <c r="H310" s="391" t="str">
        <f t="shared" si="25"/>
        <v/>
      </c>
      <c r="I310" s="391" t="str">
        <f t="shared" si="26"/>
        <v/>
      </c>
      <c r="J310" s="391" t="str">
        <f t="shared" si="27"/>
        <v/>
      </c>
      <c r="K310" s="391" t="str">
        <f t="shared" si="28"/>
        <v/>
      </c>
      <c r="O310" s="367">
        <v>289</v>
      </c>
      <c r="P310" t="s">
        <v>1238</v>
      </c>
      <c r="Q310" s="5">
        <v>17.600000000000001</v>
      </c>
      <c r="S310" s="1" t="str">
        <v/>
      </c>
      <c r="AC310" s="367" t="str">
        <f t="shared" si="29"/>
        <v/>
      </c>
    </row>
    <row r="311" spans="1:29">
      <c r="A311" s="367" t="str">
        <v/>
      </c>
      <c r="H311" s="391" t="str">
        <f t="shared" si="25"/>
        <v/>
      </c>
      <c r="I311" s="391" t="str">
        <f t="shared" si="26"/>
        <v/>
      </c>
      <c r="J311" s="391" t="str">
        <f t="shared" si="27"/>
        <v/>
      </c>
      <c r="K311" s="391" t="str">
        <f t="shared" si="28"/>
        <v/>
      </c>
      <c r="O311" s="367">
        <v>290</v>
      </c>
      <c r="P311" t="s">
        <v>1239</v>
      </c>
      <c r="Q311" s="5">
        <v>19.25</v>
      </c>
      <c r="S311" s="1" t="str">
        <v/>
      </c>
      <c r="AC311" s="367" t="str">
        <f t="shared" si="29"/>
        <v/>
      </c>
    </row>
    <row r="312" spans="1:29">
      <c r="A312" s="367" t="str">
        <v/>
      </c>
      <c r="H312" s="391" t="str">
        <f t="shared" si="25"/>
        <v/>
      </c>
      <c r="I312" s="391" t="str">
        <f t="shared" si="26"/>
        <v/>
      </c>
      <c r="J312" s="391" t="str">
        <f t="shared" si="27"/>
        <v/>
      </c>
      <c r="K312" s="391" t="str">
        <f t="shared" si="28"/>
        <v/>
      </c>
      <c r="O312" s="367">
        <v>291</v>
      </c>
      <c r="P312" t="s">
        <v>1240</v>
      </c>
      <c r="Q312" s="5">
        <v>24.2</v>
      </c>
      <c r="S312" s="1" t="str">
        <v/>
      </c>
      <c r="AC312" s="367" t="str">
        <f t="shared" si="29"/>
        <v/>
      </c>
    </row>
    <row r="313" spans="1:29">
      <c r="A313" s="367" t="str">
        <v/>
      </c>
      <c r="H313" s="391" t="str">
        <f t="shared" si="25"/>
        <v/>
      </c>
      <c r="I313" s="391" t="str">
        <f t="shared" si="26"/>
        <v/>
      </c>
      <c r="J313" s="391" t="str">
        <f t="shared" si="27"/>
        <v/>
      </c>
      <c r="K313" s="391" t="str">
        <f t="shared" si="28"/>
        <v/>
      </c>
      <c r="O313" s="367">
        <v>292</v>
      </c>
      <c r="P313" t="s">
        <v>1241</v>
      </c>
      <c r="Q313" s="5">
        <v>28.6</v>
      </c>
      <c r="S313" s="1" t="str">
        <v/>
      </c>
      <c r="AC313" s="367" t="str">
        <f t="shared" si="29"/>
        <v/>
      </c>
    </row>
    <row r="314" spans="1:29">
      <c r="A314" s="367" t="str">
        <v/>
      </c>
      <c r="H314" s="391" t="str">
        <f t="shared" si="25"/>
        <v/>
      </c>
      <c r="I314" s="391" t="str">
        <f t="shared" si="26"/>
        <v/>
      </c>
      <c r="J314" s="391" t="str">
        <f t="shared" si="27"/>
        <v/>
      </c>
      <c r="K314" s="391" t="str">
        <f t="shared" si="28"/>
        <v/>
      </c>
      <c r="O314" s="367">
        <v>293</v>
      </c>
      <c r="P314" t="s">
        <v>1242</v>
      </c>
      <c r="Q314" s="5">
        <v>10.45</v>
      </c>
      <c r="S314" s="1" t="str">
        <v/>
      </c>
      <c r="AC314" s="367" t="str">
        <f t="shared" si="29"/>
        <v/>
      </c>
    </row>
    <row r="315" spans="1:29">
      <c r="A315" s="367" t="str">
        <v/>
      </c>
      <c r="H315" s="391" t="str">
        <f t="shared" si="25"/>
        <v/>
      </c>
      <c r="I315" s="391" t="str">
        <f t="shared" si="26"/>
        <v/>
      </c>
      <c r="J315" s="391" t="str">
        <f t="shared" si="27"/>
        <v/>
      </c>
      <c r="K315" s="391" t="str">
        <f t="shared" si="28"/>
        <v/>
      </c>
      <c r="O315" s="367">
        <v>294</v>
      </c>
      <c r="P315" t="s">
        <v>1243</v>
      </c>
      <c r="Q315" s="5">
        <v>12.65</v>
      </c>
      <c r="S315" s="1" t="str">
        <v/>
      </c>
      <c r="AC315" s="367" t="str">
        <f t="shared" si="29"/>
        <v/>
      </c>
    </row>
    <row r="316" spans="1:29">
      <c r="A316" s="367" t="str">
        <v/>
      </c>
      <c r="H316" s="391" t="str">
        <f t="shared" si="25"/>
        <v/>
      </c>
      <c r="I316" s="391" t="str">
        <f t="shared" si="26"/>
        <v/>
      </c>
      <c r="J316" s="391" t="str">
        <f t="shared" si="27"/>
        <v/>
      </c>
      <c r="K316" s="391" t="str">
        <f t="shared" si="28"/>
        <v/>
      </c>
      <c r="O316" s="367">
        <v>295</v>
      </c>
      <c r="P316" t="s">
        <v>1244</v>
      </c>
      <c r="Q316" s="5">
        <v>13.2</v>
      </c>
      <c r="S316" s="1" t="str">
        <v/>
      </c>
      <c r="AC316" s="367" t="str">
        <f t="shared" si="29"/>
        <v/>
      </c>
    </row>
    <row r="317" spans="1:29">
      <c r="A317" s="367" t="str">
        <v/>
      </c>
      <c r="H317" s="391" t="str">
        <f t="shared" si="25"/>
        <v/>
      </c>
      <c r="I317" s="391" t="str">
        <f t="shared" si="26"/>
        <v/>
      </c>
      <c r="J317" s="391" t="str">
        <f t="shared" si="27"/>
        <v/>
      </c>
      <c r="K317" s="391" t="str">
        <f t="shared" si="28"/>
        <v/>
      </c>
      <c r="O317" s="367">
        <v>296</v>
      </c>
      <c r="P317" t="s">
        <v>1245</v>
      </c>
      <c r="Q317" s="5">
        <v>14.3</v>
      </c>
      <c r="S317" s="1" t="str">
        <v/>
      </c>
      <c r="AC317" s="367" t="str">
        <f t="shared" si="29"/>
        <v/>
      </c>
    </row>
    <row r="318" spans="1:29">
      <c r="A318" s="367" t="str">
        <v/>
      </c>
      <c r="H318" s="391" t="str">
        <f t="shared" si="25"/>
        <v/>
      </c>
      <c r="I318" s="391" t="str">
        <f t="shared" si="26"/>
        <v/>
      </c>
      <c r="J318" s="391" t="str">
        <f t="shared" si="27"/>
        <v/>
      </c>
      <c r="K318" s="391" t="str">
        <f t="shared" si="28"/>
        <v/>
      </c>
      <c r="O318" s="367">
        <v>297</v>
      </c>
      <c r="P318" t="s">
        <v>1246</v>
      </c>
      <c r="Q318" s="5">
        <v>15.4</v>
      </c>
      <c r="S318" s="1" t="str">
        <v/>
      </c>
      <c r="AC318" s="367" t="str">
        <f t="shared" si="29"/>
        <v/>
      </c>
    </row>
    <row r="319" spans="1:29">
      <c r="A319" s="367" t="str">
        <v/>
      </c>
      <c r="H319" s="391" t="str">
        <f t="shared" si="25"/>
        <v/>
      </c>
      <c r="I319" s="391" t="str">
        <f t="shared" si="26"/>
        <v/>
      </c>
      <c r="J319" s="391" t="str">
        <f t="shared" si="27"/>
        <v/>
      </c>
      <c r="K319" s="391" t="str">
        <f t="shared" si="28"/>
        <v/>
      </c>
      <c r="O319" s="367">
        <v>298</v>
      </c>
      <c r="P319" t="s">
        <v>1247</v>
      </c>
      <c r="Q319" s="5">
        <v>18.7</v>
      </c>
      <c r="S319" s="1" t="str">
        <v/>
      </c>
      <c r="AC319" s="367" t="str">
        <f t="shared" si="29"/>
        <v/>
      </c>
    </row>
    <row r="320" spans="1:29">
      <c r="A320" s="367" t="str">
        <v/>
      </c>
      <c r="H320" s="391" t="str">
        <f t="shared" si="25"/>
        <v/>
      </c>
      <c r="I320" s="391" t="str">
        <f t="shared" si="26"/>
        <v/>
      </c>
      <c r="J320" s="391" t="str">
        <f t="shared" si="27"/>
        <v/>
      </c>
      <c r="K320" s="391" t="str">
        <f t="shared" si="28"/>
        <v/>
      </c>
      <c r="O320" s="367">
        <v>299</v>
      </c>
      <c r="P320" t="s">
        <v>1248</v>
      </c>
      <c r="Q320" s="5">
        <v>20.350000000000001</v>
      </c>
      <c r="S320" s="1" t="str">
        <v/>
      </c>
      <c r="AC320" s="367" t="str">
        <f t="shared" si="29"/>
        <v/>
      </c>
    </row>
    <row r="321" spans="1:29">
      <c r="A321" s="367" t="str">
        <v/>
      </c>
      <c r="H321" s="391" t="str">
        <f t="shared" si="25"/>
        <v/>
      </c>
      <c r="I321" s="391" t="str">
        <f t="shared" si="26"/>
        <v/>
      </c>
      <c r="J321" s="391" t="str">
        <f t="shared" si="27"/>
        <v/>
      </c>
      <c r="K321" s="391" t="str">
        <f t="shared" si="28"/>
        <v/>
      </c>
      <c r="O321" s="367">
        <v>300</v>
      </c>
      <c r="P321" t="s">
        <v>1249</v>
      </c>
      <c r="Q321" s="5">
        <v>25.3</v>
      </c>
      <c r="S321" s="1" t="str">
        <v/>
      </c>
      <c r="AC321" s="367" t="str">
        <f t="shared" si="29"/>
        <v/>
      </c>
    </row>
    <row r="322" spans="1:29">
      <c r="A322" s="367" t="str">
        <v/>
      </c>
      <c r="H322" s="391" t="str">
        <f t="shared" si="25"/>
        <v/>
      </c>
      <c r="I322" s="391" t="str">
        <f t="shared" si="26"/>
        <v/>
      </c>
      <c r="J322" s="391" t="str">
        <f t="shared" si="27"/>
        <v/>
      </c>
      <c r="K322" s="391" t="str">
        <f t="shared" si="28"/>
        <v/>
      </c>
      <c r="O322" s="367">
        <v>301</v>
      </c>
      <c r="P322" t="s">
        <v>1250</v>
      </c>
      <c r="Q322" s="5">
        <v>29.7</v>
      </c>
      <c r="S322" s="1" t="str">
        <v/>
      </c>
      <c r="AC322" s="367" t="str">
        <f t="shared" si="29"/>
        <v/>
      </c>
    </row>
    <row r="323" spans="1:29">
      <c r="A323" s="367" t="str">
        <v/>
      </c>
      <c r="H323" s="391" t="str">
        <f t="shared" si="25"/>
        <v/>
      </c>
      <c r="I323" s="391" t="str">
        <f t="shared" si="26"/>
        <v/>
      </c>
      <c r="J323" s="391" t="str">
        <f t="shared" si="27"/>
        <v/>
      </c>
      <c r="K323" s="391" t="str">
        <f t="shared" si="28"/>
        <v/>
      </c>
      <c r="O323" s="367">
        <v>302</v>
      </c>
      <c r="P323" t="s">
        <v>1251</v>
      </c>
      <c r="Q323" s="5">
        <v>12.65</v>
      </c>
      <c r="S323" s="1" t="str">
        <v/>
      </c>
      <c r="AC323" s="367" t="str">
        <f t="shared" si="29"/>
        <v/>
      </c>
    </row>
    <row r="324" spans="1:29">
      <c r="A324" s="367" t="str">
        <v/>
      </c>
      <c r="H324" s="391" t="str">
        <f t="shared" si="25"/>
        <v/>
      </c>
      <c r="I324" s="391" t="str">
        <f t="shared" si="26"/>
        <v/>
      </c>
      <c r="J324" s="391" t="str">
        <f t="shared" si="27"/>
        <v/>
      </c>
      <c r="K324" s="391" t="str">
        <f t="shared" si="28"/>
        <v/>
      </c>
      <c r="O324" s="367">
        <v>303</v>
      </c>
      <c r="P324" t="s">
        <v>1252</v>
      </c>
      <c r="Q324" s="5">
        <v>14.85</v>
      </c>
      <c r="S324" s="1" t="str">
        <v/>
      </c>
      <c r="AC324" s="367" t="str">
        <f t="shared" si="29"/>
        <v/>
      </c>
    </row>
    <row r="325" spans="1:29">
      <c r="A325" s="367" t="str">
        <v/>
      </c>
      <c r="H325" s="391" t="str">
        <f t="shared" si="25"/>
        <v/>
      </c>
      <c r="I325" s="391" t="str">
        <f t="shared" si="26"/>
        <v/>
      </c>
      <c r="J325" s="391" t="str">
        <f t="shared" si="27"/>
        <v/>
      </c>
      <c r="K325" s="391" t="str">
        <f t="shared" si="28"/>
        <v/>
      </c>
      <c r="O325" s="367">
        <v>304</v>
      </c>
      <c r="P325" t="s">
        <v>1253</v>
      </c>
      <c r="Q325" s="5">
        <v>15.4</v>
      </c>
      <c r="S325" s="1" t="str">
        <v/>
      </c>
      <c r="AC325" s="367" t="str">
        <f t="shared" si="29"/>
        <v/>
      </c>
    </row>
    <row r="326" spans="1:29">
      <c r="A326" s="367" t="str">
        <v/>
      </c>
      <c r="H326" s="391" t="str">
        <f t="shared" si="25"/>
        <v/>
      </c>
      <c r="I326" s="391" t="str">
        <f t="shared" si="26"/>
        <v/>
      </c>
      <c r="J326" s="391" t="str">
        <f t="shared" si="27"/>
        <v/>
      </c>
      <c r="K326" s="391" t="str">
        <f t="shared" si="28"/>
        <v/>
      </c>
      <c r="O326" s="367">
        <v>305</v>
      </c>
      <c r="P326" t="s">
        <v>1254</v>
      </c>
      <c r="Q326" s="5">
        <v>16.5</v>
      </c>
      <c r="S326" s="1" t="str">
        <v/>
      </c>
      <c r="AC326" s="367" t="str">
        <f t="shared" si="29"/>
        <v/>
      </c>
    </row>
    <row r="327" spans="1:29">
      <c r="A327" s="367" t="str">
        <v/>
      </c>
      <c r="H327" s="391" t="str">
        <f t="shared" si="25"/>
        <v/>
      </c>
      <c r="I327" s="391" t="str">
        <f t="shared" si="26"/>
        <v/>
      </c>
      <c r="J327" s="391" t="str">
        <f t="shared" si="27"/>
        <v/>
      </c>
      <c r="K327" s="391" t="str">
        <f t="shared" si="28"/>
        <v/>
      </c>
      <c r="O327" s="367">
        <v>306</v>
      </c>
      <c r="P327" t="s">
        <v>1255</v>
      </c>
      <c r="Q327" s="5">
        <v>17.600000000000001</v>
      </c>
      <c r="S327" s="1" t="str">
        <v/>
      </c>
      <c r="AC327" s="367" t="str">
        <f t="shared" si="29"/>
        <v/>
      </c>
    </row>
    <row r="328" spans="1:29">
      <c r="A328" s="367" t="str">
        <v/>
      </c>
      <c r="H328" s="391" t="str">
        <f t="shared" si="25"/>
        <v/>
      </c>
      <c r="I328" s="391" t="str">
        <f t="shared" si="26"/>
        <v/>
      </c>
      <c r="J328" s="391" t="str">
        <f t="shared" si="27"/>
        <v/>
      </c>
      <c r="K328" s="391" t="str">
        <f t="shared" si="28"/>
        <v/>
      </c>
      <c r="O328" s="367">
        <v>307</v>
      </c>
      <c r="P328" t="s">
        <v>1256</v>
      </c>
      <c r="Q328" s="5">
        <v>20.9</v>
      </c>
      <c r="S328" s="1" t="str">
        <v/>
      </c>
      <c r="AC328" s="367" t="str">
        <f t="shared" si="29"/>
        <v/>
      </c>
    </row>
    <row r="329" spans="1:29">
      <c r="A329" s="367" t="str">
        <v/>
      </c>
      <c r="H329" s="391" t="str">
        <f t="shared" si="25"/>
        <v/>
      </c>
      <c r="I329" s="391" t="str">
        <f t="shared" si="26"/>
        <v/>
      </c>
      <c r="J329" s="391" t="str">
        <f t="shared" si="27"/>
        <v/>
      </c>
      <c r="K329" s="391" t="str">
        <f t="shared" si="28"/>
        <v/>
      </c>
      <c r="O329" s="367">
        <v>308</v>
      </c>
      <c r="P329" t="s">
        <v>1257</v>
      </c>
      <c r="Q329" s="5">
        <v>22.55</v>
      </c>
      <c r="S329" s="1" t="str">
        <v/>
      </c>
      <c r="AC329" s="367" t="str">
        <f t="shared" si="29"/>
        <v/>
      </c>
    </row>
    <row r="330" spans="1:29">
      <c r="A330" s="367" t="str">
        <v/>
      </c>
      <c r="H330" s="391" t="str">
        <f t="shared" si="25"/>
        <v/>
      </c>
      <c r="I330" s="391" t="str">
        <f t="shared" si="26"/>
        <v/>
      </c>
      <c r="J330" s="391" t="str">
        <f t="shared" si="27"/>
        <v/>
      </c>
      <c r="K330" s="391" t="str">
        <f t="shared" si="28"/>
        <v/>
      </c>
      <c r="O330" s="367">
        <v>309</v>
      </c>
      <c r="P330" t="s">
        <v>1258</v>
      </c>
      <c r="Q330" s="5">
        <v>27.5</v>
      </c>
      <c r="S330" s="1" t="str">
        <v/>
      </c>
      <c r="AC330" s="367" t="str">
        <f t="shared" si="29"/>
        <v/>
      </c>
    </row>
    <row r="331" spans="1:29">
      <c r="A331" s="367" t="str">
        <v/>
      </c>
      <c r="H331" s="391" t="str">
        <f t="shared" si="25"/>
        <v/>
      </c>
      <c r="I331" s="391" t="str">
        <f t="shared" si="26"/>
        <v/>
      </c>
      <c r="J331" s="391" t="str">
        <f t="shared" si="27"/>
        <v/>
      </c>
      <c r="K331" s="391" t="str">
        <f t="shared" si="28"/>
        <v/>
      </c>
      <c r="O331" s="367">
        <v>310</v>
      </c>
      <c r="P331" t="s">
        <v>1259</v>
      </c>
      <c r="Q331" s="5">
        <v>31.9</v>
      </c>
      <c r="S331" s="1" t="str">
        <v/>
      </c>
      <c r="AC331" s="367" t="str">
        <f t="shared" si="29"/>
        <v/>
      </c>
    </row>
    <row r="332" spans="1:29">
      <c r="A332" s="367" t="str">
        <v/>
      </c>
      <c r="H332" s="391" t="str">
        <f t="shared" si="25"/>
        <v/>
      </c>
      <c r="I332" s="391" t="str">
        <f t="shared" si="26"/>
        <v/>
      </c>
      <c r="J332" s="391" t="str">
        <f t="shared" si="27"/>
        <v/>
      </c>
      <c r="K332" s="391" t="str">
        <f t="shared" si="28"/>
        <v/>
      </c>
      <c r="O332" s="367">
        <v>311</v>
      </c>
      <c r="P332" t="s">
        <v>1260</v>
      </c>
      <c r="Q332" s="5">
        <v>23.1</v>
      </c>
      <c r="S332" s="1" t="str">
        <v/>
      </c>
      <c r="AC332" s="367" t="str">
        <f t="shared" si="29"/>
        <v/>
      </c>
    </row>
    <row r="333" spans="1:29">
      <c r="A333" s="367" t="str">
        <v/>
      </c>
      <c r="H333" s="391" t="str">
        <f t="shared" si="25"/>
        <v/>
      </c>
      <c r="I333" s="391" t="str">
        <f t="shared" si="26"/>
        <v/>
      </c>
      <c r="J333" s="391" t="str">
        <f t="shared" si="27"/>
        <v/>
      </c>
      <c r="K333" s="391" t="str">
        <f t="shared" si="28"/>
        <v/>
      </c>
      <c r="O333" s="367">
        <v>312</v>
      </c>
      <c r="P333" t="s">
        <v>1261</v>
      </c>
      <c r="Q333" s="5">
        <v>24.2</v>
      </c>
      <c r="S333" s="1" t="str">
        <v/>
      </c>
      <c r="AC333" s="367" t="str">
        <f t="shared" si="29"/>
        <v/>
      </c>
    </row>
    <row r="334" spans="1:29">
      <c r="A334" s="367" t="str">
        <v/>
      </c>
      <c r="H334" s="391" t="str">
        <f t="shared" si="25"/>
        <v/>
      </c>
      <c r="I334" s="391" t="str">
        <f t="shared" si="26"/>
        <v/>
      </c>
      <c r="J334" s="391" t="str">
        <f t="shared" si="27"/>
        <v/>
      </c>
      <c r="K334" s="391" t="str">
        <f t="shared" si="28"/>
        <v/>
      </c>
      <c r="O334" s="367">
        <v>313</v>
      </c>
      <c r="P334" t="s">
        <v>1262</v>
      </c>
      <c r="Q334" s="5">
        <v>25.3</v>
      </c>
      <c r="S334" s="1" t="str">
        <v/>
      </c>
      <c r="AC334" s="367" t="str">
        <f t="shared" si="29"/>
        <v/>
      </c>
    </row>
    <row r="335" spans="1:29">
      <c r="A335" s="367" t="str">
        <v/>
      </c>
      <c r="H335" s="391" t="str">
        <f t="shared" si="25"/>
        <v/>
      </c>
      <c r="I335" s="391" t="str">
        <f t="shared" si="26"/>
        <v/>
      </c>
      <c r="J335" s="391" t="str">
        <f t="shared" si="27"/>
        <v/>
      </c>
      <c r="K335" s="391" t="str">
        <f t="shared" si="28"/>
        <v/>
      </c>
      <c r="O335" s="367">
        <v>314</v>
      </c>
      <c r="P335" t="s">
        <v>1263</v>
      </c>
      <c r="Q335" s="5">
        <v>28.6</v>
      </c>
      <c r="S335" s="1" t="str">
        <v/>
      </c>
      <c r="AC335" s="367" t="str">
        <f t="shared" si="29"/>
        <v/>
      </c>
    </row>
    <row r="336" spans="1:29">
      <c r="A336" s="367" t="str">
        <v/>
      </c>
      <c r="H336" s="391" t="str">
        <f t="shared" si="25"/>
        <v/>
      </c>
      <c r="I336" s="391" t="str">
        <f t="shared" si="26"/>
        <v/>
      </c>
      <c r="J336" s="391" t="str">
        <f t="shared" si="27"/>
        <v/>
      </c>
      <c r="K336" s="391" t="str">
        <f t="shared" si="28"/>
        <v/>
      </c>
      <c r="O336" s="367">
        <v>315</v>
      </c>
      <c r="P336" t="s">
        <v>1264</v>
      </c>
      <c r="Q336" s="5">
        <v>30.8</v>
      </c>
      <c r="S336" s="1" t="str">
        <v/>
      </c>
      <c r="AC336" s="367" t="str">
        <f t="shared" si="29"/>
        <v/>
      </c>
    </row>
    <row r="337" spans="1:29">
      <c r="A337" s="367" t="str">
        <v/>
      </c>
      <c r="H337" s="391" t="str">
        <f t="shared" si="25"/>
        <v/>
      </c>
      <c r="I337" s="391" t="str">
        <f t="shared" si="26"/>
        <v/>
      </c>
      <c r="J337" s="391" t="str">
        <f t="shared" si="27"/>
        <v/>
      </c>
      <c r="K337" s="391" t="str">
        <f t="shared" si="28"/>
        <v/>
      </c>
      <c r="O337" s="367">
        <v>316</v>
      </c>
      <c r="P337" t="s">
        <v>1265</v>
      </c>
      <c r="Q337" s="5">
        <v>33</v>
      </c>
      <c r="S337" s="1" t="str">
        <v/>
      </c>
      <c r="AC337" s="367" t="str">
        <f t="shared" si="29"/>
        <v/>
      </c>
    </row>
    <row r="338" spans="1:29">
      <c r="A338" s="367" t="str">
        <v/>
      </c>
      <c r="H338" s="391" t="str">
        <f t="shared" si="25"/>
        <v/>
      </c>
      <c r="I338" s="391" t="str">
        <f t="shared" si="26"/>
        <v/>
      </c>
      <c r="J338" s="391" t="str">
        <f t="shared" si="27"/>
        <v/>
      </c>
      <c r="K338" s="391" t="str">
        <f t="shared" si="28"/>
        <v/>
      </c>
      <c r="O338" s="367">
        <v>317</v>
      </c>
      <c r="P338" t="s">
        <v>1266</v>
      </c>
      <c r="Q338" s="5">
        <v>35.200000000000003</v>
      </c>
      <c r="S338" s="1" t="str">
        <v/>
      </c>
      <c r="AC338" s="367" t="str">
        <f t="shared" si="29"/>
        <v/>
      </c>
    </row>
    <row r="339" spans="1:29">
      <c r="A339" s="367" t="str">
        <v/>
      </c>
      <c r="H339" s="391" t="str">
        <f t="shared" si="25"/>
        <v/>
      </c>
      <c r="I339" s="391" t="str">
        <f t="shared" si="26"/>
        <v/>
      </c>
      <c r="J339" s="391" t="str">
        <f t="shared" si="27"/>
        <v/>
      </c>
      <c r="K339" s="391" t="str">
        <f t="shared" si="28"/>
        <v/>
      </c>
      <c r="O339" s="367">
        <v>318</v>
      </c>
      <c r="P339" t="s">
        <v>1267</v>
      </c>
      <c r="Q339" s="5">
        <v>37.4</v>
      </c>
      <c r="S339" s="1" t="str">
        <v/>
      </c>
      <c r="AC339" s="367" t="str">
        <f t="shared" si="29"/>
        <v/>
      </c>
    </row>
    <row r="340" spans="1:29">
      <c r="A340" s="367" t="str">
        <v/>
      </c>
      <c r="H340" s="391" t="str">
        <f t="shared" si="25"/>
        <v/>
      </c>
      <c r="I340" s="391" t="str">
        <f t="shared" si="26"/>
        <v/>
      </c>
      <c r="J340" s="391" t="str">
        <f t="shared" si="27"/>
        <v/>
      </c>
      <c r="K340" s="391" t="str">
        <f t="shared" si="28"/>
        <v/>
      </c>
      <c r="O340" s="367">
        <v>319</v>
      </c>
      <c r="P340" t="s">
        <v>1268</v>
      </c>
      <c r="Q340" s="5">
        <v>39.6</v>
      </c>
      <c r="S340" s="1" t="str">
        <v/>
      </c>
      <c r="AC340" s="367" t="str">
        <f t="shared" si="29"/>
        <v/>
      </c>
    </row>
    <row r="341" spans="1:29">
      <c r="A341" s="367" t="str">
        <v/>
      </c>
      <c r="H341" s="391" t="str">
        <f t="shared" si="25"/>
        <v/>
      </c>
      <c r="I341" s="391" t="str">
        <f t="shared" si="26"/>
        <v/>
      </c>
      <c r="J341" s="391" t="str">
        <f t="shared" si="27"/>
        <v/>
      </c>
      <c r="K341" s="391" t="str">
        <f t="shared" si="28"/>
        <v/>
      </c>
      <c r="O341" s="367">
        <v>320</v>
      </c>
      <c r="P341" t="s">
        <v>1269</v>
      </c>
      <c r="Q341" s="5">
        <v>24.2</v>
      </c>
      <c r="S341" s="1" t="str">
        <v/>
      </c>
      <c r="AC341" s="367" t="str">
        <f t="shared" si="29"/>
        <v/>
      </c>
    </row>
    <row r="342" spans="1:29">
      <c r="A342" s="367" t="str">
        <v/>
      </c>
      <c r="H342" s="391" t="str">
        <f t="shared" si="25"/>
        <v/>
      </c>
      <c r="I342" s="391" t="str">
        <f t="shared" si="26"/>
        <v/>
      </c>
      <c r="J342" s="391" t="str">
        <f t="shared" si="27"/>
        <v/>
      </c>
      <c r="K342" s="391" t="str">
        <f t="shared" si="28"/>
        <v/>
      </c>
      <c r="O342" s="367">
        <v>321</v>
      </c>
      <c r="P342" t="s">
        <v>1270</v>
      </c>
      <c r="Q342" s="5">
        <v>25.3</v>
      </c>
      <c r="S342" s="1" t="str">
        <v/>
      </c>
      <c r="AC342" s="367" t="str">
        <f t="shared" si="29"/>
        <v/>
      </c>
    </row>
    <row r="343" spans="1:29">
      <c r="A343" s="367" t="str">
        <v/>
      </c>
      <c r="H343" s="391" t="str">
        <f t="shared" ref="H343:H406" si="30">IF($C343="","",ROUND((($B$2*$F343*($B$5/1000))/$B$6)*(1+IF($B$18="",0,$B$18)),2))</f>
        <v/>
      </c>
      <c r="I343" s="391" t="str">
        <f t="shared" ref="I343:I406" si="31">IF($C343="","",ROUND((($B$3*$F343*($B$5/1000))/$B$6)*(1+IF($B$18="",0,$B$18)),2))</f>
        <v/>
      </c>
      <c r="J343" s="391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1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7">
        <v>322</v>
      </c>
      <c r="P343" t="s">
        <v>1271</v>
      </c>
      <c r="Q343" s="5">
        <v>26.4</v>
      </c>
      <c r="S343" s="1" t="str">
        <v/>
      </c>
      <c r="AC343" s="367" t="str">
        <f t="shared" si="29"/>
        <v/>
      </c>
    </row>
    <row r="344" spans="1:29">
      <c r="A344" s="367" t="str">
        <v/>
      </c>
      <c r="H344" s="391" t="str">
        <f t="shared" si="30"/>
        <v/>
      </c>
      <c r="I344" s="391" t="str">
        <f t="shared" si="31"/>
        <v/>
      </c>
      <c r="J344" s="391" t="str">
        <f t="shared" si="32"/>
        <v/>
      </c>
      <c r="K344" s="391" t="str">
        <f t="shared" si="33"/>
        <v/>
      </c>
      <c r="O344" s="367">
        <v>323</v>
      </c>
      <c r="P344" t="s">
        <v>1272</v>
      </c>
      <c r="Q344" s="5">
        <v>29.7</v>
      </c>
      <c r="S344" s="1" t="str">
        <v/>
      </c>
      <c r="AC344" s="367" t="str">
        <f t="shared" si="29"/>
        <v/>
      </c>
    </row>
    <row r="345" spans="1:29">
      <c r="A345" s="367" t="str">
        <v/>
      </c>
      <c r="H345" s="391" t="str">
        <f t="shared" si="30"/>
        <v/>
      </c>
      <c r="I345" s="391" t="str">
        <f t="shared" si="31"/>
        <v/>
      </c>
      <c r="J345" s="391" t="str">
        <f t="shared" si="32"/>
        <v/>
      </c>
      <c r="K345" s="391" t="str">
        <f t="shared" si="33"/>
        <v/>
      </c>
      <c r="O345" s="367">
        <v>324</v>
      </c>
      <c r="P345" t="s">
        <v>1273</v>
      </c>
      <c r="Q345" s="5">
        <v>31.9</v>
      </c>
      <c r="S345" s="1" t="str">
        <v/>
      </c>
      <c r="AC345" s="367" t="str">
        <f t="shared" si="29"/>
        <v/>
      </c>
    </row>
    <row r="346" spans="1:29">
      <c r="A346" s="367" t="str">
        <v/>
      </c>
      <c r="H346" s="391" t="str">
        <f t="shared" si="30"/>
        <v/>
      </c>
      <c r="I346" s="391" t="str">
        <f t="shared" si="31"/>
        <v/>
      </c>
      <c r="J346" s="391" t="str">
        <f t="shared" si="32"/>
        <v/>
      </c>
      <c r="K346" s="391" t="str">
        <f t="shared" si="33"/>
        <v/>
      </c>
      <c r="O346" s="367">
        <v>325</v>
      </c>
      <c r="P346" t="s">
        <v>1274</v>
      </c>
      <c r="Q346" s="5">
        <v>34.1</v>
      </c>
      <c r="S346" s="1" t="str">
        <v/>
      </c>
      <c r="AC346" s="367" t="str">
        <f t="shared" si="29"/>
        <v/>
      </c>
    </row>
    <row r="347" spans="1:29">
      <c r="A347" s="367" t="str">
        <v/>
      </c>
      <c r="H347" s="391" t="str">
        <f t="shared" si="30"/>
        <v/>
      </c>
      <c r="I347" s="391" t="str">
        <f t="shared" si="31"/>
        <v/>
      </c>
      <c r="J347" s="391" t="str">
        <f t="shared" si="32"/>
        <v/>
      </c>
      <c r="K347" s="391" t="str">
        <f t="shared" si="33"/>
        <v/>
      </c>
      <c r="O347" s="367">
        <v>326</v>
      </c>
      <c r="P347" t="s">
        <v>1275</v>
      </c>
      <c r="Q347" s="5">
        <v>36.299999999999997</v>
      </c>
      <c r="S347" s="1" t="str">
        <v/>
      </c>
      <c r="AC347" s="367" t="str">
        <f t="shared" si="29"/>
        <v/>
      </c>
    </row>
    <row r="348" spans="1:29">
      <c r="A348" s="367" t="str">
        <v/>
      </c>
      <c r="H348" s="391" t="str">
        <f t="shared" si="30"/>
        <v/>
      </c>
      <c r="I348" s="391" t="str">
        <f t="shared" si="31"/>
        <v/>
      </c>
      <c r="J348" s="391" t="str">
        <f t="shared" si="32"/>
        <v/>
      </c>
      <c r="K348" s="391" t="str">
        <f t="shared" si="33"/>
        <v/>
      </c>
      <c r="O348" s="367">
        <v>327</v>
      </c>
      <c r="P348" t="s">
        <v>1276</v>
      </c>
      <c r="Q348" s="5">
        <v>38.5</v>
      </c>
      <c r="S348" s="1" t="str">
        <v/>
      </c>
      <c r="AC348" s="367" t="str">
        <f t="shared" si="29"/>
        <v/>
      </c>
    </row>
    <row r="349" spans="1:29">
      <c r="A349" s="367" t="str">
        <v/>
      </c>
      <c r="H349" s="391" t="str">
        <f t="shared" si="30"/>
        <v/>
      </c>
      <c r="I349" s="391" t="str">
        <f t="shared" si="31"/>
        <v/>
      </c>
      <c r="J349" s="391" t="str">
        <f t="shared" si="32"/>
        <v/>
      </c>
      <c r="K349" s="391" t="str">
        <f t="shared" si="33"/>
        <v/>
      </c>
      <c r="O349" s="367">
        <v>328</v>
      </c>
      <c r="P349" t="s">
        <v>1277</v>
      </c>
      <c r="Q349" s="5">
        <v>40.700000000000003</v>
      </c>
      <c r="S349" s="1" t="str">
        <v/>
      </c>
      <c r="AC349" s="367" t="str">
        <f t="shared" si="29"/>
        <v/>
      </c>
    </row>
    <row r="350" spans="1:29">
      <c r="A350" s="367" t="str">
        <v/>
      </c>
      <c r="H350" s="391" t="str">
        <f t="shared" si="30"/>
        <v/>
      </c>
      <c r="I350" s="391" t="str">
        <f t="shared" si="31"/>
        <v/>
      </c>
      <c r="J350" s="391" t="str">
        <f t="shared" si="32"/>
        <v/>
      </c>
      <c r="K350" s="391" t="str">
        <f t="shared" si="33"/>
        <v/>
      </c>
      <c r="O350" s="367">
        <v>329</v>
      </c>
      <c r="P350" t="s">
        <v>1278</v>
      </c>
      <c r="Q350" s="5">
        <v>25.3</v>
      </c>
      <c r="S350" s="1" t="str">
        <v/>
      </c>
      <c r="AC350" s="367" t="str">
        <f t="shared" si="29"/>
        <v/>
      </c>
    </row>
    <row r="351" spans="1:29">
      <c r="A351" s="367" t="str">
        <v/>
      </c>
      <c r="H351" s="391" t="str">
        <f t="shared" si="30"/>
        <v/>
      </c>
      <c r="I351" s="391" t="str">
        <f t="shared" si="31"/>
        <v/>
      </c>
      <c r="J351" s="391" t="str">
        <f t="shared" si="32"/>
        <v/>
      </c>
      <c r="K351" s="391" t="str">
        <f t="shared" si="33"/>
        <v/>
      </c>
      <c r="O351" s="367">
        <v>330</v>
      </c>
      <c r="P351" t="s">
        <v>1279</v>
      </c>
      <c r="Q351" s="5">
        <v>26.4</v>
      </c>
      <c r="S351" s="1" t="str">
        <v/>
      </c>
      <c r="AC351" s="367" t="str">
        <f t="shared" si="29"/>
        <v/>
      </c>
    </row>
    <row r="352" spans="1:29">
      <c r="A352" s="367" t="str">
        <v/>
      </c>
      <c r="H352" s="391" t="str">
        <f t="shared" si="30"/>
        <v/>
      </c>
      <c r="I352" s="391" t="str">
        <f t="shared" si="31"/>
        <v/>
      </c>
      <c r="J352" s="391" t="str">
        <f t="shared" si="32"/>
        <v/>
      </c>
      <c r="K352" s="391" t="str">
        <f t="shared" si="33"/>
        <v/>
      </c>
      <c r="O352" s="367">
        <v>331</v>
      </c>
      <c r="P352" t="s">
        <v>1280</v>
      </c>
      <c r="Q352" s="5">
        <v>27.5</v>
      </c>
      <c r="S352" s="1" t="str">
        <v/>
      </c>
      <c r="AC352" s="367" t="str">
        <f t="shared" si="29"/>
        <v/>
      </c>
    </row>
    <row r="353" spans="1:29">
      <c r="A353" s="367" t="str">
        <v/>
      </c>
      <c r="H353" s="391" t="str">
        <f t="shared" si="30"/>
        <v/>
      </c>
      <c r="I353" s="391" t="str">
        <f t="shared" si="31"/>
        <v/>
      </c>
      <c r="J353" s="391" t="str">
        <f t="shared" si="32"/>
        <v/>
      </c>
      <c r="K353" s="391" t="str">
        <f t="shared" si="33"/>
        <v/>
      </c>
      <c r="O353" s="367">
        <v>332</v>
      </c>
      <c r="P353" t="s">
        <v>1281</v>
      </c>
      <c r="Q353" s="5">
        <v>30.8</v>
      </c>
      <c r="S353" s="1" t="str">
        <v/>
      </c>
      <c r="AC353" s="367" t="str">
        <f t="shared" si="29"/>
        <v/>
      </c>
    </row>
    <row r="354" spans="1:29">
      <c r="A354" s="367" t="str">
        <v/>
      </c>
      <c r="H354" s="391" t="str">
        <f t="shared" si="30"/>
        <v/>
      </c>
      <c r="I354" s="391" t="str">
        <f t="shared" si="31"/>
        <v/>
      </c>
      <c r="J354" s="391" t="str">
        <f t="shared" si="32"/>
        <v/>
      </c>
      <c r="K354" s="391" t="str">
        <f t="shared" si="33"/>
        <v/>
      </c>
      <c r="O354" s="367">
        <v>333</v>
      </c>
      <c r="P354" t="s">
        <v>1282</v>
      </c>
      <c r="Q354" s="5">
        <v>33</v>
      </c>
      <c r="S354" s="1" t="str">
        <v/>
      </c>
      <c r="AC354" s="367" t="str">
        <f t="shared" si="29"/>
        <v/>
      </c>
    </row>
    <row r="355" spans="1:29">
      <c r="A355" s="367" t="str">
        <v/>
      </c>
      <c r="H355" s="391" t="str">
        <f t="shared" si="30"/>
        <v/>
      </c>
      <c r="I355" s="391" t="str">
        <f t="shared" si="31"/>
        <v/>
      </c>
      <c r="J355" s="391" t="str">
        <f t="shared" si="32"/>
        <v/>
      </c>
      <c r="K355" s="391" t="str">
        <f t="shared" si="33"/>
        <v/>
      </c>
      <c r="O355" s="367">
        <v>334</v>
      </c>
      <c r="P355" t="s">
        <v>1283</v>
      </c>
      <c r="Q355" s="5">
        <v>35.200000000000003</v>
      </c>
      <c r="S355" s="1" t="str">
        <v/>
      </c>
      <c r="AC355" s="367" t="str">
        <f t="shared" si="29"/>
        <v/>
      </c>
    </row>
    <row r="356" spans="1:29">
      <c r="A356" s="367" t="str">
        <v/>
      </c>
      <c r="H356" s="391" t="str">
        <f t="shared" si="30"/>
        <v/>
      </c>
      <c r="I356" s="391" t="str">
        <f t="shared" si="31"/>
        <v/>
      </c>
      <c r="J356" s="391" t="str">
        <f t="shared" si="32"/>
        <v/>
      </c>
      <c r="K356" s="391" t="str">
        <f t="shared" si="33"/>
        <v/>
      </c>
      <c r="O356" s="367">
        <v>335</v>
      </c>
      <c r="P356" t="s">
        <v>1284</v>
      </c>
      <c r="Q356" s="5">
        <v>37.4</v>
      </c>
      <c r="S356" s="1" t="str">
        <v/>
      </c>
      <c r="AC356" s="367" t="str">
        <f t="shared" si="29"/>
        <v/>
      </c>
    </row>
    <row r="357" spans="1:29">
      <c r="A357" s="367" t="str">
        <v/>
      </c>
      <c r="H357" s="391" t="str">
        <f t="shared" si="30"/>
        <v/>
      </c>
      <c r="I357" s="391" t="str">
        <f t="shared" si="31"/>
        <v/>
      </c>
      <c r="J357" s="391" t="str">
        <f t="shared" si="32"/>
        <v/>
      </c>
      <c r="K357" s="391" t="str">
        <f t="shared" si="33"/>
        <v/>
      </c>
      <c r="O357" s="367">
        <v>336</v>
      </c>
      <c r="P357" t="s">
        <v>1285</v>
      </c>
      <c r="Q357" s="5">
        <v>39.6</v>
      </c>
      <c r="S357" s="1" t="str">
        <v/>
      </c>
      <c r="AC357" s="367" t="str">
        <f t="shared" si="29"/>
        <v/>
      </c>
    </row>
    <row r="358" spans="1:29">
      <c r="A358" s="367" t="str">
        <v/>
      </c>
      <c r="H358" s="391" t="str">
        <f t="shared" si="30"/>
        <v/>
      </c>
      <c r="I358" s="391" t="str">
        <f t="shared" si="31"/>
        <v/>
      </c>
      <c r="J358" s="391" t="str">
        <f t="shared" si="32"/>
        <v/>
      </c>
      <c r="K358" s="391" t="str">
        <f t="shared" si="33"/>
        <v/>
      </c>
      <c r="O358" s="367">
        <v>337</v>
      </c>
      <c r="P358" t="s">
        <v>1286</v>
      </c>
      <c r="Q358" s="5">
        <v>41.8</v>
      </c>
      <c r="S358" s="1" t="str">
        <v/>
      </c>
      <c r="AC358" s="367" t="str">
        <f t="shared" si="29"/>
        <v/>
      </c>
    </row>
    <row r="359" spans="1:29">
      <c r="A359" s="367" t="str">
        <v/>
      </c>
      <c r="H359" s="391" t="str">
        <f t="shared" si="30"/>
        <v/>
      </c>
      <c r="I359" s="391" t="str">
        <f t="shared" si="31"/>
        <v/>
      </c>
      <c r="J359" s="391" t="str">
        <f t="shared" si="32"/>
        <v/>
      </c>
      <c r="K359" s="391" t="str">
        <f t="shared" si="33"/>
        <v/>
      </c>
      <c r="O359" s="367">
        <v>338</v>
      </c>
      <c r="P359" t="s">
        <v>1287</v>
      </c>
      <c r="Q359" s="5">
        <v>27.5</v>
      </c>
      <c r="S359" s="1" t="str">
        <v/>
      </c>
      <c r="AC359" s="367" t="str">
        <f t="shared" si="29"/>
        <v/>
      </c>
    </row>
    <row r="360" spans="1:29">
      <c r="A360" s="367" t="str">
        <v/>
      </c>
      <c r="H360" s="391" t="str">
        <f t="shared" si="30"/>
        <v/>
      </c>
      <c r="I360" s="391" t="str">
        <f t="shared" si="31"/>
        <v/>
      </c>
      <c r="J360" s="391" t="str">
        <f t="shared" si="32"/>
        <v/>
      </c>
      <c r="K360" s="391" t="str">
        <f t="shared" si="33"/>
        <v/>
      </c>
      <c r="O360" s="367">
        <v>339</v>
      </c>
      <c r="P360" t="s">
        <v>1288</v>
      </c>
      <c r="Q360" s="5">
        <v>28.6</v>
      </c>
      <c r="S360" s="1" t="str">
        <v/>
      </c>
      <c r="AC360" s="367" t="str">
        <f t="shared" si="29"/>
        <v/>
      </c>
    </row>
    <row r="361" spans="1:29">
      <c r="A361" s="367" t="str">
        <v/>
      </c>
      <c r="H361" s="391" t="str">
        <f t="shared" si="30"/>
        <v/>
      </c>
      <c r="I361" s="391" t="str">
        <f t="shared" si="31"/>
        <v/>
      </c>
      <c r="J361" s="391" t="str">
        <f t="shared" si="32"/>
        <v/>
      </c>
      <c r="K361" s="391" t="str">
        <f t="shared" si="33"/>
        <v/>
      </c>
      <c r="O361" s="367">
        <v>340</v>
      </c>
      <c r="P361" t="s">
        <v>1289</v>
      </c>
      <c r="Q361" s="5">
        <v>29.7</v>
      </c>
      <c r="S361" s="1" t="str">
        <v/>
      </c>
      <c r="AC361" s="367" t="str">
        <f t="shared" si="29"/>
        <v/>
      </c>
    </row>
    <row r="362" spans="1:29">
      <c r="A362" s="367" t="str">
        <v/>
      </c>
      <c r="H362" s="391" t="str">
        <f t="shared" si="30"/>
        <v/>
      </c>
      <c r="I362" s="391" t="str">
        <f t="shared" si="31"/>
        <v/>
      </c>
      <c r="J362" s="391" t="str">
        <f t="shared" si="32"/>
        <v/>
      </c>
      <c r="K362" s="391" t="str">
        <f t="shared" si="33"/>
        <v/>
      </c>
      <c r="O362" s="367">
        <v>341</v>
      </c>
      <c r="P362" t="s">
        <v>1290</v>
      </c>
      <c r="Q362" s="5">
        <v>33</v>
      </c>
      <c r="S362" s="1" t="str">
        <v/>
      </c>
      <c r="AC362" s="367" t="str">
        <f t="shared" si="29"/>
        <v/>
      </c>
    </row>
    <row r="363" spans="1:29">
      <c r="A363" s="367" t="str">
        <v/>
      </c>
      <c r="H363" s="391" t="str">
        <f t="shared" si="30"/>
        <v/>
      </c>
      <c r="I363" s="391" t="str">
        <f t="shared" si="31"/>
        <v/>
      </c>
      <c r="J363" s="391" t="str">
        <f t="shared" si="32"/>
        <v/>
      </c>
      <c r="K363" s="391" t="str">
        <f t="shared" si="33"/>
        <v/>
      </c>
      <c r="O363" s="367">
        <v>342</v>
      </c>
      <c r="P363" t="s">
        <v>1291</v>
      </c>
      <c r="Q363" s="5">
        <v>35.200000000000003</v>
      </c>
      <c r="S363" s="1" t="str">
        <v/>
      </c>
      <c r="AC363" s="367" t="str">
        <f t="shared" si="29"/>
        <v/>
      </c>
    </row>
    <row r="364" spans="1:29">
      <c r="A364" s="367" t="str">
        <v/>
      </c>
      <c r="H364" s="391" t="str">
        <f t="shared" si="30"/>
        <v/>
      </c>
      <c r="I364" s="391" t="str">
        <f t="shared" si="31"/>
        <v/>
      </c>
      <c r="J364" s="391" t="str">
        <f t="shared" si="32"/>
        <v/>
      </c>
      <c r="K364" s="391" t="str">
        <f t="shared" si="33"/>
        <v/>
      </c>
      <c r="O364" s="367">
        <v>343</v>
      </c>
      <c r="P364" t="s">
        <v>1292</v>
      </c>
      <c r="Q364" s="5">
        <v>37.4</v>
      </c>
      <c r="S364" s="1" t="str">
        <v/>
      </c>
      <c r="AC364" s="367" t="str">
        <f t="shared" si="29"/>
        <v/>
      </c>
    </row>
    <row r="365" spans="1:29">
      <c r="A365" s="367" t="str">
        <v/>
      </c>
      <c r="H365" s="391" t="str">
        <f t="shared" si="30"/>
        <v/>
      </c>
      <c r="I365" s="391" t="str">
        <f t="shared" si="31"/>
        <v/>
      </c>
      <c r="J365" s="391" t="str">
        <f t="shared" si="32"/>
        <v/>
      </c>
      <c r="K365" s="391" t="str">
        <f t="shared" si="33"/>
        <v/>
      </c>
      <c r="O365" s="367">
        <v>344</v>
      </c>
      <c r="P365" t="s">
        <v>1293</v>
      </c>
      <c r="Q365" s="5">
        <v>39.6</v>
      </c>
      <c r="S365" s="1" t="str">
        <v/>
      </c>
      <c r="AC365" s="367" t="str">
        <f t="shared" si="29"/>
        <v/>
      </c>
    </row>
    <row r="366" spans="1:29">
      <c r="A366" s="367" t="str">
        <v/>
      </c>
      <c r="H366" s="391" t="str">
        <f t="shared" si="30"/>
        <v/>
      </c>
      <c r="I366" s="391" t="str">
        <f t="shared" si="31"/>
        <v/>
      </c>
      <c r="J366" s="391" t="str">
        <f t="shared" si="32"/>
        <v/>
      </c>
      <c r="K366" s="391" t="str">
        <f t="shared" si="33"/>
        <v/>
      </c>
      <c r="O366" s="367">
        <v>345</v>
      </c>
      <c r="P366" t="s">
        <v>1294</v>
      </c>
      <c r="Q366" s="5">
        <v>41.8</v>
      </c>
      <c r="S366" s="1" t="str">
        <v/>
      </c>
      <c r="AC366" s="367" t="str">
        <f t="shared" si="29"/>
        <v/>
      </c>
    </row>
    <row r="367" spans="1:29">
      <c r="A367" s="367" t="str">
        <v/>
      </c>
      <c r="H367" s="391" t="str">
        <f t="shared" si="30"/>
        <v/>
      </c>
      <c r="I367" s="391" t="str">
        <f t="shared" si="31"/>
        <v/>
      </c>
      <c r="J367" s="391" t="str">
        <f t="shared" si="32"/>
        <v/>
      </c>
      <c r="K367" s="391" t="str">
        <f t="shared" si="33"/>
        <v/>
      </c>
      <c r="O367" s="367">
        <v>346</v>
      </c>
      <c r="P367" t="s">
        <v>1295</v>
      </c>
      <c r="Q367" s="5">
        <v>44</v>
      </c>
      <c r="S367" s="1" t="str">
        <v/>
      </c>
      <c r="AC367" s="367" t="str">
        <f t="shared" si="29"/>
        <v/>
      </c>
    </row>
    <row r="368" spans="1:29">
      <c r="A368" s="367" t="str">
        <v/>
      </c>
      <c r="H368" s="391" t="str">
        <f t="shared" si="30"/>
        <v/>
      </c>
      <c r="I368" s="391" t="str">
        <f t="shared" si="31"/>
        <v/>
      </c>
      <c r="J368" s="391" t="str">
        <f t="shared" si="32"/>
        <v/>
      </c>
      <c r="K368" s="391" t="str">
        <f t="shared" si="33"/>
        <v/>
      </c>
      <c r="O368" s="367">
        <v>347</v>
      </c>
      <c r="P368" t="s">
        <v>1296</v>
      </c>
      <c r="Q368" s="5">
        <v>23.1</v>
      </c>
      <c r="S368" s="1" t="str">
        <v/>
      </c>
      <c r="AC368" s="367" t="str">
        <f t="shared" ref="AC368:AC431" si="34">IF($AB368&lt;&gt;"",$AB368,IFERROR(ROUNDUP($Z368/$Y368,1),""))</f>
        <v/>
      </c>
    </row>
    <row r="369" spans="1:29">
      <c r="A369" s="367" t="str">
        <v/>
      </c>
      <c r="H369" s="391" t="str">
        <f t="shared" si="30"/>
        <v/>
      </c>
      <c r="I369" s="391" t="str">
        <f t="shared" si="31"/>
        <v/>
      </c>
      <c r="J369" s="391" t="str">
        <f t="shared" si="32"/>
        <v/>
      </c>
      <c r="K369" s="391" t="str">
        <f t="shared" si="33"/>
        <v/>
      </c>
      <c r="O369" s="367">
        <v>348</v>
      </c>
      <c r="P369" t="s">
        <v>1297</v>
      </c>
      <c r="Q369" s="5">
        <v>24.2</v>
      </c>
      <c r="S369" s="1" t="str">
        <v/>
      </c>
      <c r="AC369" s="367" t="str">
        <f t="shared" si="34"/>
        <v/>
      </c>
    </row>
    <row r="370" spans="1:29">
      <c r="A370" s="367" t="str">
        <v/>
      </c>
      <c r="H370" s="391" t="str">
        <f t="shared" si="30"/>
        <v/>
      </c>
      <c r="I370" s="391" t="str">
        <f t="shared" si="31"/>
        <v/>
      </c>
      <c r="J370" s="391" t="str">
        <f t="shared" si="32"/>
        <v/>
      </c>
      <c r="K370" s="391" t="str">
        <f t="shared" si="33"/>
        <v/>
      </c>
      <c r="O370" s="367">
        <v>349</v>
      </c>
      <c r="P370" t="s">
        <v>1298</v>
      </c>
      <c r="Q370" s="5">
        <v>25.3</v>
      </c>
      <c r="S370" s="1" t="str">
        <v/>
      </c>
      <c r="AC370" s="367" t="str">
        <f t="shared" si="34"/>
        <v/>
      </c>
    </row>
    <row r="371" spans="1:29">
      <c r="A371" s="367" t="str">
        <v/>
      </c>
      <c r="H371" s="391" t="str">
        <f t="shared" si="30"/>
        <v/>
      </c>
      <c r="I371" s="391" t="str">
        <f t="shared" si="31"/>
        <v/>
      </c>
      <c r="J371" s="391" t="str">
        <f t="shared" si="32"/>
        <v/>
      </c>
      <c r="K371" s="391" t="str">
        <f t="shared" si="33"/>
        <v/>
      </c>
      <c r="O371" s="367">
        <v>350</v>
      </c>
      <c r="P371" t="s">
        <v>1299</v>
      </c>
      <c r="Q371" s="5">
        <v>28.6</v>
      </c>
      <c r="S371" s="1" t="str">
        <v/>
      </c>
      <c r="AC371" s="367" t="str">
        <f t="shared" si="34"/>
        <v/>
      </c>
    </row>
    <row r="372" spans="1:29">
      <c r="A372" s="367" t="str">
        <v/>
      </c>
      <c r="H372" s="391" t="str">
        <f t="shared" si="30"/>
        <v/>
      </c>
      <c r="I372" s="391" t="str">
        <f t="shared" si="31"/>
        <v/>
      </c>
      <c r="J372" s="391" t="str">
        <f t="shared" si="32"/>
        <v/>
      </c>
      <c r="K372" s="391" t="str">
        <f t="shared" si="33"/>
        <v/>
      </c>
      <c r="O372" s="367">
        <v>351</v>
      </c>
      <c r="P372" t="s">
        <v>1300</v>
      </c>
      <c r="Q372" s="5">
        <v>30.8</v>
      </c>
      <c r="S372" s="1" t="str">
        <v/>
      </c>
      <c r="AC372" s="367" t="str">
        <f t="shared" si="34"/>
        <v/>
      </c>
    </row>
    <row r="373" spans="1:29">
      <c r="A373" s="367" t="str">
        <v/>
      </c>
      <c r="H373" s="391" t="str">
        <f t="shared" si="30"/>
        <v/>
      </c>
      <c r="I373" s="391" t="str">
        <f t="shared" si="31"/>
        <v/>
      </c>
      <c r="J373" s="391" t="str">
        <f t="shared" si="32"/>
        <v/>
      </c>
      <c r="K373" s="391" t="str">
        <f t="shared" si="33"/>
        <v/>
      </c>
      <c r="O373" s="367">
        <v>352</v>
      </c>
      <c r="P373" t="s">
        <v>1301</v>
      </c>
      <c r="Q373" s="5">
        <v>33</v>
      </c>
      <c r="S373" s="1" t="str">
        <v/>
      </c>
      <c r="AC373" s="367" t="str">
        <f t="shared" si="34"/>
        <v/>
      </c>
    </row>
    <row r="374" spans="1:29">
      <c r="A374" s="367" t="str">
        <v/>
      </c>
      <c r="H374" s="391" t="str">
        <f t="shared" si="30"/>
        <v/>
      </c>
      <c r="I374" s="391" t="str">
        <f t="shared" si="31"/>
        <v/>
      </c>
      <c r="J374" s="391" t="str">
        <f t="shared" si="32"/>
        <v/>
      </c>
      <c r="K374" s="391" t="str">
        <f t="shared" si="33"/>
        <v/>
      </c>
      <c r="O374" s="367">
        <v>353</v>
      </c>
      <c r="P374" t="s">
        <v>1302</v>
      </c>
      <c r="Q374" s="5">
        <v>35.200000000000003</v>
      </c>
      <c r="S374" s="1" t="str">
        <v/>
      </c>
      <c r="AC374" s="367" t="str">
        <f t="shared" si="34"/>
        <v/>
      </c>
    </row>
    <row r="375" spans="1:29">
      <c r="A375" s="367" t="str">
        <v/>
      </c>
      <c r="H375" s="391" t="str">
        <f t="shared" si="30"/>
        <v/>
      </c>
      <c r="I375" s="391" t="str">
        <f t="shared" si="31"/>
        <v/>
      </c>
      <c r="J375" s="391" t="str">
        <f t="shared" si="32"/>
        <v/>
      </c>
      <c r="K375" s="391" t="str">
        <f t="shared" si="33"/>
        <v/>
      </c>
      <c r="O375" s="367">
        <v>354</v>
      </c>
      <c r="P375" t="s">
        <v>1303</v>
      </c>
      <c r="Q375" s="5">
        <v>37.4</v>
      </c>
      <c r="S375" s="1" t="str">
        <v/>
      </c>
      <c r="AC375" s="367" t="str">
        <f t="shared" si="34"/>
        <v/>
      </c>
    </row>
    <row r="376" spans="1:29">
      <c r="A376" s="367" t="str">
        <v/>
      </c>
      <c r="H376" s="391" t="str">
        <f t="shared" si="30"/>
        <v/>
      </c>
      <c r="I376" s="391" t="str">
        <f t="shared" si="31"/>
        <v/>
      </c>
      <c r="J376" s="391" t="str">
        <f t="shared" si="32"/>
        <v/>
      </c>
      <c r="K376" s="391" t="str">
        <f t="shared" si="33"/>
        <v/>
      </c>
      <c r="O376" s="367">
        <v>355</v>
      </c>
      <c r="P376" t="s">
        <v>1304</v>
      </c>
      <c r="Q376" s="5">
        <v>39.6</v>
      </c>
      <c r="S376" s="1" t="str">
        <v/>
      </c>
      <c r="AC376" s="367" t="str">
        <f t="shared" si="34"/>
        <v/>
      </c>
    </row>
    <row r="377" spans="1:29">
      <c r="A377" s="367" t="str">
        <v/>
      </c>
      <c r="H377" s="391" t="str">
        <f t="shared" si="30"/>
        <v/>
      </c>
      <c r="I377" s="391" t="str">
        <f t="shared" si="31"/>
        <v/>
      </c>
      <c r="J377" s="391" t="str">
        <f t="shared" si="32"/>
        <v/>
      </c>
      <c r="K377" s="391" t="str">
        <f t="shared" si="33"/>
        <v/>
      </c>
      <c r="O377" s="367">
        <v>356</v>
      </c>
      <c r="P377" t="s">
        <v>1305</v>
      </c>
      <c r="Q377" s="5">
        <v>24.2</v>
      </c>
      <c r="S377" s="1" t="str">
        <v/>
      </c>
      <c r="AC377" s="367" t="str">
        <f t="shared" si="34"/>
        <v/>
      </c>
    </row>
    <row r="378" spans="1:29">
      <c r="A378" s="367" t="str">
        <v/>
      </c>
      <c r="H378" s="391" t="str">
        <f t="shared" si="30"/>
        <v/>
      </c>
      <c r="I378" s="391" t="str">
        <f t="shared" si="31"/>
        <v/>
      </c>
      <c r="J378" s="391" t="str">
        <f t="shared" si="32"/>
        <v/>
      </c>
      <c r="K378" s="391" t="str">
        <f t="shared" si="33"/>
        <v/>
      </c>
      <c r="O378" s="367">
        <v>357</v>
      </c>
      <c r="P378" t="s">
        <v>1306</v>
      </c>
      <c r="Q378" s="5">
        <v>25.3</v>
      </c>
      <c r="S378" s="1" t="str">
        <v/>
      </c>
      <c r="AC378" s="367" t="str">
        <f t="shared" si="34"/>
        <v/>
      </c>
    </row>
    <row r="379" spans="1:29">
      <c r="A379" s="367" t="str">
        <v/>
      </c>
      <c r="H379" s="391" t="str">
        <f t="shared" si="30"/>
        <v/>
      </c>
      <c r="I379" s="391" t="str">
        <f t="shared" si="31"/>
        <v/>
      </c>
      <c r="J379" s="391" t="str">
        <f t="shared" si="32"/>
        <v/>
      </c>
      <c r="K379" s="391" t="str">
        <f t="shared" si="33"/>
        <v/>
      </c>
      <c r="O379" s="367">
        <v>358</v>
      </c>
      <c r="P379" t="s">
        <v>1307</v>
      </c>
      <c r="Q379" s="5">
        <v>26.4</v>
      </c>
      <c r="S379" s="1" t="str">
        <v/>
      </c>
      <c r="AC379" s="367" t="str">
        <f t="shared" si="34"/>
        <v/>
      </c>
    </row>
    <row r="380" spans="1:29">
      <c r="A380" s="367" t="str">
        <v/>
      </c>
      <c r="H380" s="391" t="str">
        <f t="shared" si="30"/>
        <v/>
      </c>
      <c r="I380" s="391" t="str">
        <f t="shared" si="31"/>
        <v/>
      </c>
      <c r="J380" s="391" t="str">
        <f t="shared" si="32"/>
        <v/>
      </c>
      <c r="K380" s="391" t="str">
        <f t="shared" si="33"/>
        <v/>
      </c>
      <c r="O380" s="367">
        <v>359</v>
      </c>
      <c r="P380" t="s">
        <v>1308</v>
      </c>
      <c r="Q380" s="5">
        <v>29.7</v>
      </c>
      <c r="S380" s="1" t="str">
        <v/>
      </c>
      <c r="AC380" s="367" t="str">
        <f t="shared" si="34"/>
        <v/>
      </c>
    </row>
    <row r="381" spans="1:29">
      <c r="A381" s="367" t="str">
        <v/>
      </c>
      <c r="H381" s="391" t="str">
        <f t="shared" si="30"/>
        <v/>
      </c>
      <c r="I381" s="391" t="str">
        <f t="shared" si="31"/>
        <v/>
      </c>
      <c r="J381" s="391" t="str">
        <f t="shared" si="32"/>
        <v/>
      </c>
      <c r="K381" s="391" t="str">
        <f t="shared" si="33"/>
        <v/>
      </c>
      <c r="O381" s="367">
        <v>360</v>
      </c>
      <c r="P381" t="s">
        <v>1309</v>
      </c>
      <c r="Q381" s="5">
        <v>31.9</v>
      </c>
      <c r="S381" s="1" t="str">
        <v/>
      </c>
      <c r="AC381" s="367" t="str">
        <f t="shared" si="34"/>
        <v/>
      </c>
    </row>
    <row r="382" spans="1:29">
      <c r="A382" s="367" t="str">
        <v/>
      </c>
      <c r="H382" s="391" t="str">
        <f t="shared" si="30"/>
        <v/>
      </c>
      <c r="I382" s="391" t="str">
        <f t="shared" si="31"/>
        <v/>
      </c>
      <c r="J382" s="391" t="str">
        <f t="shared" si="32"/>
        <v/>
      </c>
      <c r="K382" s="391" t="str">
        <f t="shared" si="33"/>
        <v/>
      </c>
      <c r="O382" s="367">
        <v>361</v>
      </c>
      <c r="P382" t="s">
        <v>1310</v>
      </c>
      <c r="Q382" s="5">
        <v>34.1</v>
      </c>
      <c r="S382" s="1" t="str">
        <v/>
      </c>
      <c r="AC382" s="367" t="str">
        <f t="shared" si="34"/>
        <v/>
      </c>
    </row>
    <row r="383" spans="1:29">
      <c r="A383" s="367" t="str">
        <v/>
      </c>
      <c r="H383" s="391" t="str">
        <f t="shared" si="30"/>
        <v/>
      </c>
      <c r="I383" s="391" t="str">
        <f t="shared" si="31"/>
        <v/>
      </c>
      <c r="J383" s="391" t="str">
        <f t="shared" si="32"/>
        <v/>
      </c>
      <c r="K383" s="391" t="str">
        <f t="shared" si="33"/>
        <v/>
      </c>
      <c r="O383" s="367">
        <v>362</v>
      </c>
      <c r="P383" t="s">
        <v>1311</v>
      </c>
      <c r="Q383" s="5">
        <v>36.299999999999997</v>
      </c>
      <c r="S383" s="1" t="str">
        <v/>
      </c>
      <c r="AC383" s="367" t="str">
        <f t="shared" si="34"/>
        <v/>
      </c>
    </row>
    <row r="384" spans="1:29">
      <c r="A384" s="367" t="str">
        <v/>
      </c>
      <c r="H384" s="391" t="str">
        <f t="shared" si="30"/>
        <v/>
      </c>
      <c r="I384" s="391" t="str">
        <f t="shared" si="31"/>
        <v/>
      </c>
      <c r="J384" s="391" t="str">
        <f t="shared" si="32"/>
        <v/>
      </c>
      <c r="K384" s="391" t="str">
        <f t="shared" si="33"/>
        <v/>
      </c>
      <c r="O384" s="367">
        <v>363</v>
      </c>
      <c r="P384" t="s">
        <v>1312</v>
      </c>
      <c r="Q384" s="5">
        <v>38.5</v>
      </c>
      <c r="S384" s="1" t="str">
        <v/>
      </c>
      <c r="AC384" s="367" t="str">
        <f t="shared" si="34"/>
        <v/>
      </c>
    </row>
    <row r="385" spans="1:29">
      <c r="A385" s="367" t="str">
        <v/>
      </c>
      <c r="H385" s="391" t="str">
        <f t="shared" si="30"/>
        <v/>
      </c>
      <c r="I385" s="391" t="str">
        <f t="shared" si="31"/>
        <v/>
      </c>
      <c r="J385" s="391" t="str">
        <f t="shared" si="32"/>
        <v/>
      </c>
      <c r="K385" s="391" t="str">
        <f t="shared" si="33"/>
        <v/>
      </c>
      <c r="O385" s="367">
        <v>364</v>
      </c>
      <c r="P385" t="s">
        <v>1313</v>
      </c>
      <c r="Q385" s="5">
        <v>40.700000000000003</v>
      </c>
      <c r="S385" s="1" t="str">
        <v/>
      </c>
      <c r="AC385" s="367" t="str">
        <f t="shared" si="34"/>
        <v/>
      </c>
    </row>
    <row r="386" spans="1:29">
      <c r="A386" s="367" t="str">
        <v/>
      </c>
      <c r="H386" s="391" t="str">
        <f t="shared" si="30"/>
        <v/>
      </c>
      <c r="I386" s="391" t="str">
        <f t="shared" si="31"/>
        <v/>
      </c>
      <c r="J386" s="391" t="str">
        <f t="shared" si="32"/>
        <v/>
      </c>
      <c r="K386" s="391" t="str">
        <f t="shared" si="33"/>
        <v/>
      </c>
      <c r="O386" s="367">
        <v>365</v>
      </c>
      <c r="P386" t="s">
        <v>1314</v>
      </c>
      <c r="Q386" s="5">
        <v>25.3</v>
      </c>
      <c r="S386" s="1" t="str">
        <v/>
      </c>
      <c r="AC386" s="367" t="str">
        <f t="shared" si="34"/>
        <v/>
      </c>
    </row>
    <row r="387" spans="1:29">
      <c r="A387" s="367" t="str">
        <v/>
      </c>
      <c r="H387" s="391" t="str">
        <f t="shared" si="30"/>
        <v/>
      </c>
      <c r="I387" s="391" t="str">
        <f t="shared" si="31"/>
        <v/>
      </c>
      <c r="J387" s="391" t="str">
        <f t="shared" si="32"/>
        <v/>
      </c>
      <c r="K387" s="391" t="str">
        <f t="shared" si="33"/>
        <v/>
      </c>
      <c r="O387" s="367">
        <v>366</v>
      </c>
      <c r="P387" t="s">
        <v>1315</v>
      </c>
      <c r="Q387" s="5">
        <v>26.4</v>
      </c>
      <c r="S387" s="1" t="str">
        <v/>
      </c>
      <c r="AC387" s="367" t="str">
        <f t="shared" si="34"/>
        <v/>
      </c>
    </row>
    <row r="388" spans="1:29">
      <c r="A388" s="367" t="str">
        <v/>
      </c>
      <c r="H388" s="391" t="str">
        <f t="shared" si="30"/>
        <v/>
      </c>
      <c r="I388" s="391" t="str">
        <f t="shared" si="31"/>
        <v/>
      </c>
      <c r="J388" s="391" t="str">
        <f t="shared" si="32"/>
        <v/>
      </c>
      <c r="K388" s="391" t="str">
        <f t="shared" si="33"/>
        <v/>
      </c>
      <c r="O388" s="367">
        <v>367</v>
      </c>
      <c r="P388" t="s">
        <v>1316</v>
      </c>
      <c r="Q388" s="5">
        <v>27.5</v>
      </c>
      <c r="S388" s="1" t="str">
        <v/>
      </c>
      <c r="AC388" s="367" t="str">
        <f t="shared" si="34"/>
        <v/>
      </c>
    </row>
    <row r="389" spans="1:29">
      <c r="A389" s="367" t="str">
        <v/>
      </c>
      <c r="H389" s="391" t="str">
        <f t="shared" si="30"/>
        <v/>
      </c>
      <c r="I389" s="391" t="str">
        <f t="shared" si="31"/>
        <v/>
      </c>
      <c r="J389" s="391" t="str">
        <f t="shared" si="32"/>
        <v/>
      </c>
      <c r="K389" s="391" t="str">
        <f t="shared" si="33"/>
        <v/>
      </c>
      <c r="O389" s="367">
        <v>368</v>
      </c>
      <c r="P389" t="s">
        <v>1317</v>
      </c>
      <c r="Q389" s="5">
        <v>30.8</v>
      </c>
      <c r="S389" s="1" t="str">
        <v/>
      </c>
      <c r="AC389" s="367" t="str">
        <f t="shared" si="34"/>
        <v/>
      </c>
    </row>
    <row r="390" spans="1:29">
      <c r="A390" s="367" t="str">
        <v/>
      </c>
      <c r="H390" s="391" t="str">
        <f t="shared" si="30"/>
        <v/>
      </c>
      <c r="I390" s="391" t="str">
        <f t="shared" si="31"/>
        <v/>
      </c>
      <c r="J390" s="391" t="str">
        <f t="shared" si="32"/>
        <v/>
      </c>
      <c r="K390" s="391" t="str">
        <f t="shared" si="33"/>
        <v/>
      </c>
      <c r="O390" s="367">
        <v>369</v>
      </c>
      <c r="P390" t="s">
        <v>1318</v>
      </c>
      <c r="Q390" s="5">
        <v>33</v>
      </c>
      <c r="S390" s="1" t="str">
        <v/>
      </c>
      <c r="AC390" s="367" t="str">
        <f t="shared" si="34"/>
        <v/>
      </c>
    </row>
    <row r="391" spans="1:29">
      <c r="A391" s="367" t="str">
        <v/>
      </c>
      <c r="H391" s="391" t="str">
        <f t="shared" si="30"/>
        <v/>
      </c>
      <c r="I391" s="391" t="str">
        <f t="shared" si="31"/>
        <v/>
      </c>
      <c r="J391" s="391" t="str">
        <f t="shared" si="32"/>
        <v/>
      </c>
      <c r="K391" s="391" t="str">
        <f t="shared" si="33"/>
        <v/>
      </c>
      <c r="O391" s="367">
        <v>370</v>
      </c>
      <c r="P391" t="s">
        <v>1319</v>
      </c>
      <c r="Q391" s="5">
        <v>35.200000000000003</v>
      </c>
      <c r="S391" s="1" t="str">
        <v/>
      </c>
      <c r="AC391" s="367" t="str">
        <f t="shared" si="34"/>
        <v/>
      </c>
    </row>
    <row r="392" spans="1:29">
      <c r="A392" s="367" t="str">
        <v/>
      </c>
      <c r="H392" s="391" t="str">
        <f t="shared" si="30"/>
        <v/>
      </c>
      <c r="I392" s="391" t="str">
        <f t="shared" si="31"/>
        <v/>
      </c>
      <c r="J392" s="391" t="str">
        <f t="shared" si="32"/>
        <v/>
      </c>
      <c r="K392" s="391" t="str">
        <f t="shared" si="33"/>
        <v/>
      </c>
      <c r="O392" s="367">
        <v>371</v>
      </c>
      <c r="P392" t="s">
        <v>1320</v>
      </c>
      <c r="Q392" s="5">
        <v>37.4</v>
      </c>
      <c r="S392" s="1" t="str">
        <v/>
      </c>
      <c r="AC392" s="367" t="str">
        <f t="shared" si="34"/>
        <v/>
      </c>
    </row>
    <row r="393" spans="1:29">
      <c r="A393" s="367" t="str">
        <v/>
      </c>
      <c r="H393" s="391" t="str">
        <f t="shared" si="30"/>
        <v/>
      </c>
      <c r="I393" s="391" t="str">
        <f t="shared" si="31"/>
        <v/>
      </c>
      <c r="J393" s="391" t="str">
        <f t="shared" si="32"/>
        <v/>
      </c>
      <c r="K393" s="391" t="str">
        <f t="shared" si="33"/>
        <v/>
      </c>
      <c r="O393" s="367">
        <v>372</v>
      </c>
      <c r="P393" t="s">
        <v>1321</v>
      </c>
      <c r="Q393" s="5">
        <v>39.6</v>
      </c>
      <c r="S393" s="1" t="str">
        <v/>
      </c>
      <c r="AC393" s="367" t="str">
        <f t="shared" si="34"/>
        <v/>
      </c>
    </row>
    <row r="394" spans="1:29">
      <c r="A394" s="367" t="str">
        <v/>
      </c>
      <c r="H394" s="391" t="str">
        <f t="shared" si="30"/>
        <v/>
      </c>
      <c r="I394" s="391" t="str">
        <f t="shared" si="31"/>
        <v/>
      </c>
      <c r="J394" s="391" t="str">
        <f t="shared" si="32"/>
        <v/>
      </c>
      <c r="K394" s="391" t="str">
        <f t="shared" si="33"/>
        <v/>
      </c>
      <c r="O394" s="367">
        <v>373</v>
      </c>
      <c r="P394" t="s">
        <v>1322</v>
      </c>
      <c r="Q394" s="5">
        <v>41.8</v>
      </c>
      <c r="S394" s="1" t="str">
        <v/>
      </c>
      <c r="AC394" s="367" t="str">
        <f t="shared" si="34"/>
        <v/>
      </c>
    </row>
    <row r="395" spans="1:29">
      <c r="A395" s="367" t="str">
        <v/>
      </c>
      <c r="H395" s="391" t="str">
        <f t="shared" si="30"/>
        <v/>
      </c>
      <c r="I395" s="391" t="str">
        <f t="shared" si="31"/>
        <v/>
      </c>
      <c r="J395" s="391" t="str">
        <f t="shared" si="32"/>
        <v/>
      </c>
      <c r="K395" s="391" t="str">
        <f t="shared" si="33"/>
        <v/>
      </c>
      <c r="O395" s="367">
        <v>374</v>
      </c>
      <c r="P395" t="s">
        <v>1323</v>
      </c>
      <c r="Q395" s="5">
        <v>27.5</v>
      </c>
      <c r="S395" s="1" t="str">
        <v/>
      </c>
      <c r="AC395" s="367" t="str">
        <f t="shared" si="34"/>
        <v/>
      </c>
    </row>
    <row r="396" spans="1:29">
      <c r="A396" s="367" t="str">
        <v/>
      </c>
      <c r="H396" s="391" t="str">
        <f t="shared" si="30"/>
        <v/>
      </c>
      <c r="I396" s="391" t="str">
        <f t="shared" si="31"/>
        <v/>
      </c>
      <c r="J396" s="391" t="str">
        <f t="shared" si="32"/>
        <v/>
      </c>
      <c r="K396" s="391" t="str">
        <f t="shared" si="33"/>
        <v/>
      </c>
      <c r="O396" s="367">
        <v>375</v>
      </c>
      <c r="P396" t="s">
        <v>1324</v>
      </c>
      <c r="Q396" s="5">
        <v>28.6</v>
      </c>
      <c r="S396" s="1" t="str">
        <v/>
      </c>
      <c r="AC396" s="367" t="str">
        <f t="shared" si="34"/>
        <v/>
      </c>
    </row>
    <row r="397" spans="1:29">
      <c r="A397" s="367" t="str">
        <v/>
      </c>
      <c r="H397" s="391" t="str">
        <f t="shared" si="30"/>
        <v/>
      </c>
      <c r="I397" s="391" t="str">
        <f t="shared" si="31"/>
        <v/>
      </c>
      <c r="J397" s="391" t="str">
        <f t="shared" si="32"/>
        <v/>
      </c>
      <c r="K397" s="391" t="str">
        <f t="shared" si="33"/>
        <v/>
      </c>
      <c r="O397" s="367">
        <v>376</v>
      </c>
      <c r="P397" t="s">
        <v>1325</v>
      </c>
      <c r="Q397" s="5">
        <v>29.7</v>
      </c>
      <c r="S397" s="1" t="str">
        <v/>
      </c>
      <c r="AC397" s="367" t="str">
        <f t="shared" si="34"/>
        <v/>
      </c>
    </row>
    <row r="398" spans="1:29">
      <c r="A398" s="367" t="str">
        <v/>
      </c>
      <c r="H398" s="391" t="str">
        <f t="shared" si="30"/>
        <v/>
      </c>
      <c r="I398" s="391" t="str">
        <f t="shared" si="31"/>
        <v/>
      </c>
      <c r="J398" s="391" t="str">
        <f t="shared" si="32"/>
        <v/>
      </c>
      <c r="K398" s="391" t="str">
        <f t="shared" si="33"/>
        <v/>
      </c>
      <c r="O398" s="367">
        <v>377</v>
      </c>
      <c r="P398" t="s">
        <v>1326</v>
      </c>
      <c r="Q398" s="5">
        <v>33</v>
      </c>
      <c r="S398" s="1" t="str">
        <v/>
      </c>
      <c r="AC398" s="367" t="str">
        <f t="shared" si="34"/>
        <v/>
      </c>
    </row>
    <row r="399" spans="1:29">
      <c r="A399" s="367" t="str">
        <v/>
      </c>
      <c r="H399" s="391" t="str">
        <f t="shared" si="30"/>
        <v/>
      </c>
      <c r="I399" s="391" t="str">
        <f t="shared" si="31"/>
        <v/>
      </c>
      <c r="J399" s="391" t="str">
        <f t="shared" si="32"/>
        <v/>
      </c>
      <c r="K399" s="391" t="str">
        <f t="shared" si="33"/>
        <v/>
      </c>
      <c r="O399" s="367">
        <v>378</v>
      </c>
      <c r="P399" t="s">
        <v>1327</v>
      </c>
      <c r="Q399" s="5">
        <v>35.200000000000003</v>
      </c>
      <c r="S399" s="1" t="str">
        <v/>
      </c>
      <c r="AC399" s="367" t="str">
        <f t="shared" si="34"/>
        <v/>
      </c>
    </row>
    <row r="400" spans="1:29">
      <c r="A400" s="367" t="str">
        <v/>
      </c>
      <c r="H400" s="391" t="str">
        <f t="shared" si="30"/>
        <v/>
      </c>
      <c r="I400" s="391" t="str">
        <f t="shared" si="31"/>
        <v/>
      </c>
      <c r="J400" s="391" t="str">
        <f t="shared" si="32"/>
        <v/>
      </c>
      <c r="K400" s="391" t="str">
        <f t="shared" si="33"/>
        <v/>
      </c>
      <c r="O400" s="367">
        <v>379</v>
      </c>
      <c r="P400" t="s">
        <v>1328</v>
      </c>
      <c r="Q400" s="5">
        <v>37.4</v>
      </c>
      <c r="S400" s="1" t="str">
        <v/>
      </c>
      <c r="AC400" s="367" t="str">
        <f t="shared" si="34"/>
        <v/>
      </c>
    </row>
    <row r="401" spans="1:29">
      <c r="A401" s="367" t="str">
        <v/>
      </c>
      <c r="H401" s="391" t="str">
        <f t="shared" si="30"/>
        <v/>
      </c>
      <c r="I401" s="391" t="str">
        <f t="shared" si="31"/>
        <v/>
      </c>
      <c r="J401" s="391" t="str">
        <f t="shared" si="32"/>
        <v/>
      </c>
      <c r="K401" s="391" t="str">
        <f t="shared" si="33"/>
        <v/>
      </c>
      <c r="O401" s="367">
        <v>380</v>
      </c>
      <c r="P401" t="s">
        <v>1329</v>
      </c>
      <c r="Q401" s="5">
        <v>39.6</v>
      </c>
      <c r="S401" s="1" t="str">
        <v/>
      </c>
      <c r="AC401" s="367" t="str">
        <f t="shared" si="34"/>
        <v/>
      </c>
    </row>
    <row r="402" spans="1:29">
      <c r="A402" s="367" t="str">
        <v/>
      </c>
      <c r="H402" s="391" t="str">
        <f t="shared" si="30"/>
        <v/>
      </c>
      <c r="I402" s="391" t="str">
        <f t="shared" si="31"/>
        <v/>
      </c>
      <c r="J402" s="391" t="str">
        <f t="shared" si="32"/>
        <v/>
      </c>
      <c r="K402" s="391" t="str">
        <f t="shared" si="33"/>
        <v/>
      </c>
      <c r="O402" s="367">
        <v>381</v>
      </c>
      <c r="P402" t="s">
        <v>1330</v>
      </c>
      <c r="Q402" s="5">
        <v>41.8</v>
      </c>
      <c r="S402" s="1" t="str">
        <v/>
      </c>
      <c r="AC402" s="367" t="str">
        <f t="shared" si="34"/>
        <v/>
      </c>
    </row>
    <row r="403" spans="1:29">
      <c r="A403" s="367" t="str">
        <v/>
      </c>
      <c r="H403" s="391" t="str">
        <f t="shared" si="30"/>
        <v/>
      </c>
      <c r="I403" s="391" t="str">
        <f t="shared" si="31"/>
        <v/>
      </c>
      <c r="J403" s="391" t="str">
        <f t="shared" si="32"/>
        <v/>
      </c>
      <c r="K403" s="391" t="str">
        <f t="shared" si="33"/>
        <v/>
      </c>
      <c r="O403" s="367">
        <v>382</v>
      </c>
      <c r="P403" t="s">
        <v>1331</v>
      </c>
      <c r="Q403" s="5">
        <v>44</v>
      </c>
      <c r="S403" s="1" t="str">
        <v/>
      </c>
      <c r="AC403" s="367" t="str">
        <f t="shared" si="34"/>
        <v/>
      </c>
    </row>
    <row r="404" spans="1:29">
      <c r="A404" s="367" t="str">
        <v/>
      </c>
      <c r="H404" s="391" t="str">
        <f t="shared" si="30"/>
        <v/>
      </c>
      <c r="I404" s="391" t="str">
        <f t="shared" si="31"/>
        <v/>
      </c>
      <c r="J404" s="391" t="str">
        <f t="shared" si="32"/>
        <v/>
      </c>
      <c r="K404" s="391" t="str">
        <f t="shared" si="33"/>
        <v/>
      </c>
      <c r="O404" s="367">
        <v>383</v>
      </c>
      <c r="P404" t="s">
        <v>1345</v>
      </c>
      <c r="Q404" s="5">
        <v>17.600000000000001</v>
      </c>
      <c r="S404" s="1" t="str">
        <v/>
      </c>
      <c r="AC404" s="367" t="str">
        <f t="shared" si="34"/>
        <v/>
      </c>
    </row>
    <row r="405" spans="1:29">
      <c r="A405" s="367" t="str">
        <v/>
      </c>
      <c r="H405" s="391" t="str">
        <f t="shared" si="30"/>
        <v/>
      </c>
      <c r="I405" s="391" t="str">
        <f t="shared" si="31"/>
        <v/>
      </c>
      <c r="J405" s="391" t="str">
        <f t="shared" si="32"/>
        <v/>
      </c>
      <c r="K405" s="391" t="str">
        <f t="shared" si="33"/>
        <v/>
      </c>
      <c r="O405" s="367">
        <v>384</v>
      </c>
      <c r="P405" t="s">
        <v>1346</v>
      </c>
      <c r="Q405" s="5">
        <v>19.8</v>
      </c>
      <c r="S405" s="1" t="str">
        <v/>
      </c>
      <c r="AC405" s="367" t="str">
        <f t="shared" si="34"/>
        <v/>
      </c>
    </row>
    <row r="406" spans="1:29">
      <c r="A406" s="367" t="str">
        <v/>
      </c>
      <c r="H406" s="391" t="str">
        <f t="shared" si="30"/>
        <v/>
      </c>
      <c r="I406" s="391" t="str">
        <f t="shared" si="31"/>
        <v/>
      </c>
      <c r="J406" s="391" t="str">
        <f t="shared" si="32"/>
        <v/>
      </c>
      <c r="K406" s="391" t="str">
        <f t="shared" si="33"/>
        <v/>
      </c>
      <c r="O406" s="367">
        <v>385</v>
      </c>
      <c r="P406" t="s">
        <v>1332</v>
      </c>
      <c r="Q406" s="5">
        <v>2.38</v>
      </c>
      <c r="S406" s="1" t="str">
        <v/>
      </c>
      <c r="AC406" s="367" t="str">
        <f t="shared" si="34"/>
        <v/>
      </c>
    </row>
    <row r="407" spans="1:29">
      <c r="A407" s="367" t="str">
        <v/>
      </c>
      <c r="H407" s="391" t="str">
        <f t="shared" ref="H407:H470" si="35">IF($C407="","",ROUND((($B$2*$F407*($B$5/1000))/$B$6)*(1+IF($B$18="",0,$B$18)),2))</f>
        <v/>
      </c>
      <c r="I407" s="391" t="str">
        <f t="shared" ref="I407:I470" si="36">IF($C407="","",ROUND((($B$3*$F407*($B$5/1000))/$B$6)*(1+IF($B$18="",0,$B$18)),2))</f>
        <v/>
      </c>
      <c r="J407" s="391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1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7">
        <v>386</v>
      </c>
      <c r="P407" t="s">
        <v>1339</v>
      </c>
      <c r="Q407" s="5">
        <v>2.25</v>
      </c>
      <c r="S407" s="1" t="str">
        <v/>
      </c>
      <c r="AC407" s="367" t="str">
        <f t="shared" si="34"/>
        <v/>
      </c>
    </row>
    <row r="408" spans="1:29">
      <c r="A408" s="367" t="str">
        <v/>
      </c>
      <c r="H408" s="391" t="str">
        <f t="shared" si="35"/>
        <v/>
      </c>
      <c r="I408" s="391" t="str">
        <f t="shared" si="36"/>
        <v/>
      </c>
      <c r="J408" s="391" t="str">
        <f t="shared" si="37"/>
        <v/>
      </c>
      <c r="K408" s="391" t="str">
        <f t="shared" si="38"/>
        <v/>
      </c>
      <c r="O408" s="367">
        <v>387</v>
      </c>
      <c r="P408" t="s">
        <v>1343</v>
      </c>
      <c r="Q408" s="5">
        <v>5.44</v>
      </c>
      <c r="S408" s="1" t="str">
        <v/>
      </c>
      <c r="AC408" s="367" t="str">
        <f t="shared" si="34"/>
        <v/>
      </c>
    </row>
    <row r="409" spans="1:29">
      <c r="A409" s="367" t="str">
        <v/>
      </c>
      <c r="H409" s="391" t="str">
        <f t="shared" si="35"/>
        <v/>
      </c>
      <c r="I409" s="391" t="str">
        <f t="shared" si="36"/>
        <v/>
      </c>
      <c r="J409" s="391" t="str">
        <f t="shared" si="37"/>
        <v/>
      </c>
      <c r="K409" s="391" t="str">
        <f t="shared" si="38"/>
        <v/>
      </c>
      <c r="O409" s="367">
        <v>388</v>
      </c>
      <c r="P409" t="s">
        <v>1964</v>
      </c>
      <c r="Q409" s="5">
        <f>CalcEngine!W8</f>
        <v>16.600000000000001</v>
      </c>
      <c r="S409" s="1" t="str">
        <v/>
      </c>
      <c r="AC409" s="367" t="str">
        <f t="shared" si="34"/>
        <v/>
      </c>
    </row>
    <row r="410" spans="1:29">
      <c r="A410" s="367" t="str">
        <v/>
      </c>
      <c r="H410" s="391" t="str">
        <f t="shared" si="35"/>
        <v/>
      </c>
      <c r="I410" s="391" t="str">
        <f t="shared" si="36"/>
        <v/>
      </c>
      <c r="J410" s="391" t="str">
        <f t="shared" si="37"/>
        <v/>
      </c>
      <c r="K410" s="391" t="str">
        <f t="shared" si="38"/>
        <v/>
      </c>
      <c r="O410" s="367">
        <v>389</v>
      </c>
      <c r="P410" t="s">
        <v>1965</v>
      </c>
      <c r="Q410" s="5">
        <f>CalcEngine!W11</f>
        <v>19.505000000000003</v>
      </c>
      <c r="S410" s="1" t="str">
        <v/>
      </c>
      <c r="AC410" s="367" t="str">
        <f t="shared" si="34"/>
        <v/>
      </c>
    </row>
    <row r="411" spans="1:29">
      <c r="A411" s="367" t="str">
        <v/>
      </c>
      <c r="H411" s="391" t="str">
        <f t="shared" si="35"/>
        <v/>
      </c>
      <c r="I411" s="391" t="str">
        <f t="shared" si="36"/>
        <v/>
      </c>
      <c r="J411" s="391" t="str">
        <f t="shared" si="37"/>
        <v/>
      </c>
      <c r="K411" s="391" t="str">
        <f t="shared" si="38"/>
        <v/>
      </c>
      <c r="O411" s="367">
        <v>390</v>
      </c>
      <c r="P411" t="s">
        <v>1429</v>
      </c>
      <c r="Q411" s="5">
        <v>3.5</v>
      </c>
      <c r="S411" s="1" t="str">
        <v/>
      </c>
      <c r="AC411" s="367" t="str">
        <f t="shared" si="34"/>
        <v/>
      </c>
    </row>
    <row r="412" spans="1:29">
      <c r="A412" s="367" t="str">
        <v/>
      </c>
      <c r="H412" s="391" t="str">
        <f t="shared" si="35"/>
        <v/>
      </c>
      <c r="I412" s="391" t="str">
        <f t="shared" si="36"/>
        <v/>
      </c>
      <c r="J412" s="391" t="str">
        <f t="shared" si="37"/>
        <v/>
      </c>
      <c r="K412" s="391" t="str">
        <f t="shared" si="38"/>
        <v/>
      </c>
      <c r="O412" s="367">
        <v>391</v>
      </c>
      <c r="P412" t="s">
        <v>1430</v>
      </c>
      <c r="Q412" s="5">
        <v>4.5</v>
      </c>
      <c r="S412" s="1" t="str">
        <v/>
      </c>
      <c r="AC412" s="367" t="str">
        <f t="shared" si="34"/>
        <v/>
      </c>
    </row>
    <row r="413" spans="1:29">
      <c r="A413" s="367" t="str">
        <v/>
      </c>
      <c r="H413" s="391" t="str">
        <f t="shared" si="35"/>
        <v/>
      </c>
      <c r="I413" s="391" t="str">
        <f t="shared" si="36"/>
        <v/>
      </c>
      <c r="J413" s="391" t="str">
        <f t="shared" si="37"/>
        <v/>
      </c>
      <c r="K413" s="391" t="str">
        <f t="shared" si="38"/>
        <v/>
      </c>
      <c r="O413" s="367">
        <v>392</v>
      </c>
      <c r="P413" t="s">
        <v>1340</v>
      </c>
      <c r="Q413" s="5">
        <v>1.35</v>
      </c>
      <c r="S413" s="1" t="str">
        <v/>
      </c>
      <c r="AC413" s="367" t="str">
        <f t="shared" si="34"/>
        <v/>
      </c>
    </row>
    <row r="414" spans="1:29">
      <c r="A414" s="367" t="str">
        <v/>
      </c>
      <c r="H414" s="391" t="str">
        <f t="shared" si="35"/>
        <v/>
      </c>
      <c r="I414" s="391" t="str">
        <f t="shared" si="36"/>
        <v/>
      </c>
      <c r="J414" s="391" t="str">
        <f t="shared" si="37"/>
        <v/>
      </c>
      <c r="K414" s="391" t="str">
        <f t="shared" si="38"/>
        <v/>
      </c>
      <c r="O414" s="367">
        <v>393</v>
      </c>
      <c r="P414" t="s">
        <v>1342</v>
      </c>
      <c r="Q414" s="5">
        <v>4.0599999999999996</v>
      </c>
      <c r="S414" s="1" t="str">
        <v/>
      </c>
      <c r="AC414" s="367" t="str">
        <f t="shared" si="34"/>
        <v/>
      </c>
    </row>
    <row r="415" spans="1:29">
      <c r="A415" s="367" t="str">
        <v/>
      </c>
      <c r="H415" s="391" t="str">
        <f t="shared" si="35"/>
        <v/>
      </c>
      <c r="I415" s="391" t="str">
        <f t="shared" si="36"/>
        <v/>
      </c>
      <c r="J415" s="391" t="str">
        <f t="shared" si="37"/>
        <v/>
      </c>
      <c r="K415" s="391" t="str">
        <f t="shared" si="38"/>
        <v/>
      </c>
      <c r="O415" s="367">
        <v>394</v>
      </c>
      <c r="P415" t="s">
        <v>1344</v>
      </c>
      <c r="Q415" s="5">
        <v>0.7</v>
      </c>
      <c r="S415" s="1" t="str">
        <v/>
      </c>
      <c r="AC415" s="367" t="str">
        <f t="shared" si="34"/>
        <v/>
      </c>
    </row>
    <row r="416" spans="1:29">
      <c r="A416" s="367" t="str">
        <v/>
      </c>
      <c r="H416" s="391" t="str">
        <f t="shared" si="35"/>
        <v/>
      </c>
      <c r="I416" s="391" t="str">
        <f t="shared" si="36"/>
        <v/>
      </c>
      <c r="J416" s="391" t="str">
        <f t="shared" si="37"/>
        <v/>
      </c>
      <c r="K416" s="391" t="str">
        <f t="shared" si="38"/>
        <v/>
      </c>
      <c r="O416" s="367">
        <v>395</v>
      </c>
      <c r="P416" t="s">
        <v>212</v>
      </c>
      <c r="Q416" s="5">
        <v>7.01</v>
      </c>
      <c r="S416" s="1" t="str">
        <v/>
      </c>
      <c r="AC416" s="367" t="str">
        <f t="shared" si="34"/>
        <v/>
      </c>
    </row>
    <row r="417" spans="1:29">
      <c r="A417" s="367" t="str">
        <v/>
      </c>
      <c r="H417" s="391" t="str">
        <f t="shared" si="35"/>
        <v/>
      </c>
      <c r="I417" s="391" t="str">
        <f t="shared" si="36"/>
        <v/>
      </c>
      <c r="J417" s="391" t="str">
        <f t="shared" si="37"/>
        <v/>
      </c>
      <c r="K417" s="391" t="str">
        <f t="shared" si="38"/>
        <v/>
      </c>
      <c r="O417" s="367">
        <v>396</v>
      </c>
      <c r="P417" t="s">
        <v>1422</v>
      </c>
      <c r="Q417" s="5">
        <v>13.5</v>
      </c>
      <c r="S417" s="1" t="str">
        <v/>
      </c>
      <c r="AC417" s="367" t="str">
        <f t="shared" si="34"/>
        <v/>
      </c>
    </row>
    <row r="418" spans="1:29">
      <c r="A418" s="367" t="str">
        <v/>
      </c>
      <c r="H418" s="391" t="str">
        <f t="shared" si="35"/>
        <v/>
      </c>
      <c r="I418" s="391" t="str">
        <f t="shared" si="36"/>
        <v/>
      </c>
      <c r="J418" s="391" t="str">
        <f t="shared" si="37"/>
        <v/>
      </c>
      <c r="K418" s="391" t="str">
        <f t="shared" si="38"/>
        <v/>
      </c>
      <c r="O418" s="367">
        <v>397</v>
      </c>
      <c r="P418" t="s">
        <v>1423</v>
      </c>
      <c r="Q418" s="5">
        <v>15</v>
      </c>
      <c r="S418" s="1" t="str">
        <v/>
      </c>
      <c r="AC418" s="367" t="str">
        <f t="shared" si="34"/>
        <v/>
      </c>
    </row>
    <row r="419" spans="1:29">
      <c r="A419" s="367" t="str">
        <v/>
      </c>
      <c r="H419" s="391" t="str">
        <f t="shared" si="35"/>
        <v/>
      </c>
      <c r="I419" s="391" t="str">
        <f t="shared" si="36"/>
        <v/>
      </c>
      <c r="J419" s="391" t="str">
        <f t="shared" si="37"/>
        <v/>
      </c>
      <c r="K419" s="391" t="str">
        <f t="shared" si="38"/>
        <v/>
      </c>
      <c r="O419" s="367">
        <v>398</v>
      </c>
      <c r="P419" t="s">
        <v>1421</v>
      </c>
      <c r="Q419" s="5">
        <v>18.75</v>
      </c>
      <c r="S419" s="1" t="str">
        <v/>
      </c>
      <c r="AC419" s="367" t="str">
        <f t="shared" si="34"/>
        <v/>
      </c>
    </row>
    <row r="420" spans="1:29">
      <c r="A420" s="367" t="str">
        <v/>
      </c>
      <c r="H420" s="391" t="str">
        <f t="shared" si="35"/>
        <v/>
      </c>
      <c r="I420" s="391" t="str">
        <f t="shared" si="36"/>
        <v/>
      </c>
      <c r="J420" s="391" t="str">
        <f t="shared" si="37"/>
        <v/>
      </c>
      <c r="K420" s="391" t="str">
        <f t="shared" si="38"/>
        <v/>
      </c>
      <c r="O420" s="367">
        <v>399</v>
      </c>
      <c r="P420" t="s">
        <v>1351</v>
      </c>
      <c r="Q420" s="5">
        <v>5.28</v>
      </c>
      <c r="S420" s="1" t="str">
        <v/>
      </c>
      <c r="AC420" s="367" t="str">
        <f t="shared" si="34"/>
        <v/>
      </c>
    </row>
    <row r="421" spans="1:29">
      <c r="A421" s="367" t="str">
        <v/>
      </c>
      <c r="H421" s="391" t="str">
        <f t="shared" si="35"/>
        <v/>
      </c>
      <c r="I421" s="391" t="str">
        <f t="shared" si="36"/>
        <v/>
      </c>
      <c r="J421" s="391" t="str">
        <f t="shared" si="37"/>
        <v/>
      </c>
      <c r="K421" s="391" t="str">
        <f t="shared" si="38"/>
        <v/>
      </c>
      <c r="O421" s="367">
        <v>400</v>
      </c>
      <c r="P421" t="s">
        <v>1352</v>
      </c>
      <c r="Q421" s="5">
        <v>1.6</v>
      </c>
      <c r="S421" s="1" t="str">
        <v/>
      </c>
      <c r="AC421" s="367" t="str">
        <f t="shared" si="34"/>
        <v/>
      </c>
    </row>
    <row r="422" spans="1:29">
      <c r="A422" s="367" t="str">
        <v/>
      </c>
      <c r="H422" s="391" t="str">
        <f t="shared" si="35"/>
        <v/>
      </c>
      <c r="I422" s="391" t="str">
        <f t="shared" si="36"/>
        <v/>
      </c>
      <c r="J422" s="391" t="str">
        <f t="shared" si="37"/>
        <v/>
      </c>
      <c r="K422" s="391" t="str">
        <f t="shared" si="38"/>
        <v/>
      </c>
      <c r="O422" s="367">
        <v>401</v>
      </c>
      <c r="P422" t="s">
        <v>1341</v>
      </c>
      <c r="Q422" s="5">
        <v>0.63</v>
      </c>
      <c r="S422" s="1" t="str">
        <v/>
      </c>
      <c r="AC422" s="367" t="str">
        <f t="shared" si="34"/>
        <v/>
      </c>
    </row>
    <row r="423" spans="1:29">
      <c r="A423" s="367" t="str">
        <v/>
      </c>
      <c r="H423" s="391" t="str">
        <f t="shared" si="35"/>
        <v/>
      </c>
      <c r="I423" s="391" t="str">
        <f t="shared" si="36"/>
        <v/>
      </c>
      <c r="J423" s="391" t="str">
        <f t="shared" si="37"/>
        <v/>
      </c>
      <c r="K423" s="391" t="str">
        <f t="shared" si="38"/>
        <v/>
      </c>
      <c r="O423" s="367">
        <v>402</v>
      </c>
      <c r="P423" t="s">
        <v>1353</v>
      </c>
      <c r="Q423" s="5">
        <v>5.9</v>
      </c>
      <c r="S423" s="1" t="str">
        <v/>
      </c>
      <c r="AC423" s="367" t="str">
        <f t="shared" si="34"/>
        <v/>
      </c>
    </row>
    <row r="424" spans="1:29">
      <c r="A424" s="367" t="str">
        <v/>
      </c>
      <c r="H424" s="391" t="str">
        <f t="shared" si="35"/>
        <v/>
      </c>
      <c r="I424" s="391" t="str">
        <f t="shared" si="36"/>
        <v/>
      </c>
      <c r="J424" s="391" t="str">
        <f t="shared" si="37"/>
        <v/>
      </c>
      <c r="K424" s="391" t="str">
        <f t="shared" si="38"/>
        <v/>
      </c>
      <c r="O424" s="367" t="str">
        <v/>
      </c>
      <c r="S424" s="1" t="str">
        <v/>
      </c>
      <c r="AC424" s="367" t="str">
        <f t="shared" si="34"/>
        <v/>
      </c>
    </row>
    <row r="425" spans="1:29">
      <c r="A425" s="367" t="str">
        <v/>
      </c>
      <c r="H425" s="391" t="str">
        <f t="shared" si="35"/>
        <v/>
      </c>
      <c r="I425" s="391" t="str">
        <f t="shared" si="36"/>
        <v/>
      </c>
      <c r="J425" s="391" t="str">
        <f t="shared" si="37"/>
        <v/>
      </c>
      <c r="K425" s="391" t="str">
        <f t="shared" si="38"/>
        <v/>
      </c>
      <c r="O425" s="367">
        <v>403</v>
      </c>
      <c r="P425" t="s">
        <v>1375</v>
      </c>
      <c r="Q425">
        <v>1.35</v>
      </c>
      <c r="S425" s="1" t="str">
        <v/>
      </c>
      <c r="AC425" s="367" t="str">
        <f t="shared" si="34"/>
        <v/>
      </c>
    </row>
    <row r="426" spans="1:29">
      <c r="A426" s="367" t="str">
        <v/>
      </c>
      <c r="H426" s="391" t="str">
        <f t="shared" si="35"/>
        <v/>
      </c>
      <c r="I426" s="391" t="str">
        <f t="shared" si="36"/>
        <v/>
      </c>
      <c r="J426" s="391" t="str">
        <f t="shared" si="37"/>
        <v/>
      </c>
      <c r="K426" s="391" t="str">
        <f t="shared" si="38"/>
        <v/>
      </c>
      <c r="O426" s="367">
        <v>404</v>
      </c>
      <c r="P426" t="s">
        <v>1376</v>
      </c>
      <c r="Q426">
        <v>1.48</v>
      </c>
      <c r="S426" s="1" t="str">
        <v/>
      </c>
      <c r="AC426" s="367" t="str">
        <f t="shared" si="34"/>
        <v/>
      </c>
    </row>
    <row r="427" spans="1:29">
      <c r="A427" s="367" t="str">
        <v/>
      </c>
      <c r="H427" s="391" t="str">
        <f t="shared" si="35"/>
        <v/>
      </c>
      <c r="I427" s="391" t="str">
        <f t="shared" si="36"/>
        <v/>
      </c>
      <c r="J427" s="391" t="str">
        <f t="shared" si="37"/>
        <v/>
      </c>
      <c r="K427" s="391" t="str">
        <f t="shared" si="38"/>
        <v/>
      </c>
      <c r="O427" s="367">
        <v>405</v>
      </c>
      <c r="P427" t="s">
        <v>1378</v>
      </c>
      <c r="Q427">
        <v>1.68</v>
      </c>
      <c r="S427" s="1" t="str">
        <v/>
      </c>
      <c r="AC427" s="367" t="str">
        <f t="shared" si="34"/>
        <v/>
      </c>
    </row>
    <row r="428" spans="1:29">
      <c r="A428" s="367" t="str">
        <v/>
      </c>
      <c r="H428" s="391" t="str">
        <f t="shared" si="35"/>
        <v/>
      </c>
      <c r="I428" s="391" t="str">
        <f t="shared" si="36"/>
        <v/>
      </c>
      <c r="J428" s="391" t="str">
        <f t="shared" si="37"/>
        <v/>
      </c>
      <c r="K428" s="391" t="str">
        <f t="shared" si="38"/>
        <v/>
      </c>
      <c r="O428" s="367">
        <v>406</v>
      </c>
      <c r="P428" t="s">
        <v>1397</v>
      </c>
      <c r="Q428">
        <v>1.68</v>
      </c>
      <c r="S428" s="1" t="str">
        <v/>
      </c>
      <c r="AC428" s="367" t="str">
        <f t="shared" si="34"/>
        <v/>
      </c>
    </row>
    <row r="429" spans="1:29">
      <c r="A429" s="367" t="str">
        <v/>
      </c>
      <c r="H429" s="391" t="str">
        <f t="shared" si="35"/>
        <v/>
      </c>
      <c r="I429" s="391" t="str">
        <f t="shared" si="36"/>
        <v/>
      </c>
      <c r="J429" s="391" t="str">
        <f t="shared" si="37"/>
        <v/>
      </c>
      <c r="K429" s="391" t="str">
        <f t="shared" si="38"/>
        <v/>
      </c>
      <c r="O429" s="367">
        <v>407</v>
      </c>
      <c r="P429" t="s">
        <v>1398</v>
      </c>
      <c r="Q429">
        <v>1.68</v>
      </c>
      <c r="S429" s="1" t="str">
        <v/>
      </c>
      <c r="AC429" s="367" t="str">
        <f t="shared" si="34"/>
        <v/>
      </c>
    </row>
    <row r="430" spans="1:29">
      <c r="A430" s="367" t="str">
        <v/>
      </c>
      <c r="H430" s="391" t="str">
        <f t="shared" si="35"/>
        <v/>
      </c>
      <c r="I430" s="391" t="str">
        <f t="shared" si="36"/>
        <v/>
      </c>
      <c r="J430" s="391" t="str">
        <f t="shared" si="37"/>
        <v/>
      </c>
      <c r="K430" s="391" t="str">
        <f t="shared" si="38"/>
        <v/>
      </c>
      <c r="O430" s="367">
        <v>408</v>
      </c>
      <c r="P430" t="s">
        <v>1381</v>
      </c>
      <c r="Q430">
        <v>1.68</v>
      </c>
      <c r="S430" s="1" t="str">
        <v/>
      </c>
      <c r="AC430" s="367" t="str">
        <f t="shared" si="34"/>
        <v/>
      </c>
    </row>
    <row r="431" spans="1:29">
      <c r="A431" s="367" t="str">
        <v/>
      </c>
      <c r="H431" s="391" t="str">
        <f t="shared" si="35"/>
        <v/>
      </c>
      <c r="I431" s="391" t="str">
        <f t="shared" si="36"/>
        <v/>
      </c>
      <c r="J431" s="391" t="str">
        <f t="shared" si="37"/>
        <v/>
      </c>
      <c r="K431" s="391" t="str">
        <f t="shared" si="38"/>
        <v/>
      </c>
      <c r="O431" s="367">
        <v>409</v>
      </c>
      <c r="P431" t="s">
        <v>1377</v>
      </c>
      <c r="Q431">
        <v>1.68</v>
      </c>
      <c r="S431" s="1" t="str">
        <v/>
      </c>
      <c r="AC431" s="367" t="str">
        <f t="shared" si="34"/>
        <v/>
      </c>
    </row>
    <row r="432" spans="1:29">
      <c r="A432" s="367" t="str">
        <v/>
      </c>
      <c r="H432" s="391" t="str">
        <f t="shared" si="35"/>
        <v/>
      </c>
      <c r="I432" s="391" t="str">
        <f t="shared" si="36"/>
        <v/>
      </c>
      <c r="J432" s="391" t="str">
        <f t="shared" si="37"/>
        <v/>
      </c>
      <c r="K432" s="391" t="str">
        <f t="shared" si="38"/>
        <v/>
      </c>
      <c r="O432" s="367">
        <v>410</v>
      </c>
      <c r="P432" t="s">
        <v>1380</v>
      </c>
      <c r="Q432">
        <v>1.68</v>
      </c>
      <c r="S432" s="1" t="str">
        <v/>
      </c>
      <c r="AC432" s="367" t="str">
        <f t="shared" ref="AC432:AC495" si="39">IF($AB432&lt;&gt;"",$AB432,IFERROR(ROUNDUP($Z432/$Y432,1),""))</f>
        <v/>
      </c>
    </row>
    <row r="433" spans="1:29">
      <c r="A433" s="367" t="str">
        <v/>
      </c>
      <c r="H433" s="391" t="str">
        <f t="shared" si="35"/>
        <v/>
      </c>
      <c r="I433" s="391" t="str">
        <f t="shared" si="36"/>
        <v/>
      </c>
      <c r="J433" s="391" t="str">
        <f t="shared" si="37"/>
        <v/>
      </c>
      <c r="K433" s="391" t="str">
        <f t="shared" si="38"/>
        <v/>
      </c>
      <c r="O433" s="367">
        <v>411</v>
      </c>
      <c r="P433" t="s">
        <v>1379</v>
      </c>
      <c r="Q433">
        <v>1.68</v>
      </c>
      <c r="S433" s="1" t="str">
        <v/>
      </c>
      <c r="AC433" s="367" t="str">
        <f t="shared" si="39"/>
        <v/>
      </c>
    </row>
    <row r="434" spans="1:29">
      <c r="A434" s="367" t="str">
        <v/>
      </c>
      <c r="H434" s="391" t="str">
        <f t="shared" si="35"/>
        <v/>
      </c>
      <c r="I434" s="391" t="str">
        <f t="shared" si="36"/>
        <v/>
      </c>
      <c r="J434" s="391" t="str">
        <f t="shared" si="37"/>
        <v/>
      </c>
      <c r="K434" s="391" t="str">
        <f t="shared" si="38"/>
        <v/>
      </c>
      <c r="O434" s="367">
        <v>412</v>
      </c>
      <c r="P434" t="s">
        <v>1399</v>
      </c>
      <c r="Q434">
        <v>1.99</v>
      </c>
      <c r="S434" s="1" t="str">
        <v/>
      </c>
      <c r="AC434" s="367" t="str">
        <f t="shared" si="39"/>
        <v/>
      </c>
    </row>
    <row r="435" spans="1:29">
      <c r="A435" s="367" t="str">
        <v/>
      </c>
      <c r="H435" s="391" t="str">
        <f t="shared" si="35"/>
        <v/>
      </c>
      <c r="I435" s="391" t="str">
        <f t="shared" si="36"/>
        <v/>
      </c>
      <c r="J435" s="391" t="str">
        <f t="shared" si="37"/>
        <v/>
      </c>
      <c r="K435" s="391" t="str">
        <f t="shared" si="38"/>
        <v/>
      </c>
      <c r="O435" s="367">
        <v>413</v>
      </c>
      <c r="P435" t="s">
        <v>1382</v>
      </c>
      <c r="Q435">
        <v>1.99</v>
      </c>
      <c r="S435" s="1" t="str">
        <v/>
      </c>
      <c r="AC435" s="367" t="str">
        <f t="shared" si="39"/>
        <v/>
      </c>
    </row>
    <row r="436" spans="1:29">
      <c r="A436" s="367" t="str">
        <v/>
      </c>
      <c r="H436" s="391" t="str">
        <f t="shared" si="35"/>
        <v/>
      </c>
      <c r="I436" s="391" t="str">
        <f t="shared" si="36"/>
        <v/>
      </c>
      <c r="J436" s="391" t="str">
        <f t="shared" si="37"/>
        <v/>
      </c>
      <c r="K436" s="391" t="str">
        <f t="shared" si="38"/>
        <v/>
      </c>
      <c r="O436" s="367">
        <v>414</v>
      </c>
      <c r="P436" t="s">
        <v>1383</v>
      </c>
      <c r="Q436">
        <v>1.99</v>
      </c>
      <c r="S436" s="1" t="str">
        <v/>
      </c>
      <c r="AC436" s="367" t="str">
        <f t="shared" si="39"/>
        <v/>
      </c>
    </row>
    <row r="437" spans="1:29">
      <c r="A437" s="367" t="str">
        <v/>
      </c>
      <c r="H437" s="391" t="str">
        <f t="shared" si="35"/>
        <v/>
      </c>
      <c r="I437" s="391" t="str">
        <f t="shared" si="36"/>
        <v/>
      </c>
      <c r="J437" s="391" t="str">
        <f t="shared" si="37"/>
        <v/>
      </c>
      <c r="K437" s="391" t="str">
        <f t="shared" si="38"/>
        <v/>
      </c>
      <c r="O437" s="367">
        <v>415</v>
      </c>
      <c r="P437" t="s">
        <v>1385</v>
      </c>
      <c r="Q437">
        <v>1.99</v>
      </c>
      <c r="S437" s="1" t="str">
        <v/>
      </c>
      <c r="AC437" s="367" t="str">
        <f t="shared" si="39"/>
        <v/>
      </c>
    </row>
    <row r="438" spans="1:29">
      <c r="A438" s="367" t="str">
        <v/>
      </c>
      <c r="H438" s="391" t="str">
        <f t="shared" si="35"/>
        <v/>
      </c>
      <c r="I438" s="391" t="str">
        <f t="shared" si="36"/>
        <v/>
      </c>
      <c r="J438" s="391" t="str">
        <f t="shared" si="37"/>
        <v/>
      </c>
      <c r="K438" s="391" t="str">
        <f t="shared" si="38"/>
        <v/>
      </c>
      <c r="O438" s="367">
        <v>416</v>
      </c>
      <c r="P438" t="s">
        <v>1384</v>
      </c>
      <c r="Q438">
        <v>1.99</v>
      </c>
      <c r="S438" s="1" t="str">
        <v/>
      </c>
      <c r="AC438" s="367" t="str">
        <f t="shared" si="39"/>
        <v/>
      </c>
    </row>
    <row r="439" spans="1:29">
      <c r="A439" s="367" t="str">
        <v/>
      </c>
      <c r="H439" s="391" t="str">
        <f t="shared" si="35"/>
        <v/>
      </c>
      <c r="I439" s="391" t="str">
        <f t="shared" si="36"/>
        <v/>
      </c>
      <c r="J439" s="391" t="str">
        <f t="shared" si="37"/>
        <v/>
      </c>
      <c r="K439" s="391" t="str">
        <f t="shared" si="38"/>
        <v/>
      </c>
      <c r="O439" s="367">
        <v>417</v>
      </c>
      <c r="P439" t="s">
        <v>1386</v>
      </c>
      <c r="Q439">
        <v>2.1800000000000002</v>
      </c>
      <c r="S439" s="1" t="str">
        <v/>
      </c>
      <c r="AC439" s="367" t="str">
        <f t="shared" si="39"/>
        <v/>
      </c>
    </row>
    <row r="440" spans="1:29">
      <c r="A440" s="367" t="str">
        <v/>
      </c>
      <c r="H440" s="391" t="str">
        <f t="shared" si="35"/>
        <v/>
      </c>
      <c r="I440" s="391" t="str">
        <f t="shared" si="36"/>
        <v/>
      </c>
      <c r="J440" s="391" t="str">
        <f t="shared" si="37"/>
        <v/>
      </c>
      <c r="K440" s="391" t="str">
        <f t="shared" si="38"/>
        <v/>
      </c>
      <c r="O440" s="367">
        <v>418</v>
      </c>
      <c r="P440" t="s">
        <v>1387</v>
      </c>
      <c r="Q440">
        <v>2.1800000000000002</v>
      </c>
      <c r="S440" s="1" t="str">
        <v/>
      </c>
      <c r="AC440" s="367" t="str">
        <f t="shared" si="39"/>
        <v/>
      </c>
    </row>
    <row r="441" spans="1:29">
      <c r="A441" s="367" t="str">
        <v/>
      </c>
      <c r="H441" s="391" t="str">
        <f t="shared" si="35"/>
        <v/>
      </c>
      <c r="I441" s="391" t="str">
        <f t="shared" si="36"/>
        <v/>
      </c>
      <c r="J441" s="391" t="str">
        <f t="shared" si="37"/>
        <v/>
      </c>
      <c r="K441" s="391" t="str">
        <f t="shared" si="38"/>
        <v/>
      </c>
      <c r="O441" s="367">
        <v>419</v>
      </c>
      <c r="P441" t="s">
        <v>1391</v>
      </c>
      <c r="Q441">
        <v>2.2799999999999998</v>
      </c>
      <c r="S441" s="1" t="str">
        <v/>
      </c>
      <c r="AC441" s="367" t="str">
        <f t="shared" si="39"/>
        <v/>
      </c>
    </row>
    <row r="442" spans="1:29">
      <c r="A442" s="367" t="str">
        <v/>
      </c>
      <c r="H442" s="391" t="str">
        <f t="shared" si="35"/>
        <v/>
      </c>
      <c r="I442" s="391" t="str">
        <f t="shared" si="36"/>
        <v/>
      </c>
      <c r="J442" s="391" t="str">
        <f t="shared" si="37"/>
        <v/>
      </c>
      <c r="K442" s="391" t="str">
        <f t="shared" si="38"/>
        <v/>
      </c>
      <c r="O442" s="367">
        <v>420</v>
      </c>
      <c r="P442" t="s">
        <v>1389</v>
      </c>
      <c r="Q442">
        <v>2.2799999999999998</v>
      </c>
      <c r="S442" s="1" t="str">
        <v/>
      </c>
      <c r="AC442" s="367" t="str">
        <f t="shared" si="39"/>
        <v/>
      </c>
    </row>
    <row r="443" spans="1:29">
      <c r="A443" s="367" t="str">
        <v/>
      </c>
      <c r="H443" s="391" t="str">
        <f t="shared" si="35"/>
        <v/>
      </c>
      <c r="I443" s="391" t="str">
        <f t="shared" si="36"/>
        <v/>
      </c>
      <c r="J443" s="391" t="str">
        <f t="shared" si="37"/>
        <v/>
      </c>
      <c r="K443" s="391" t="str">
        <f t="shared" si="38"/>
        <v/>
      </c>
      <c r="O443" s="367">
        <v>421</v>
      </c>
      <c r="P443" t="s">
        <v>1388</v>
      </c>
      <c r="Q443">
        <v>2.2799999999999998</v>
      </c>
      <c r="S443" s="1" t="str">
        <v/>
      </c>
      <c r="AC443" s="367" t="str">
        <f t="shared" si="39"/>
        <v/>
      </c>
    </row>
    <row r="444" spans="1:29">
      <c r="A444" s="367" t="str">
        <v/>
      </c>
      <c r="H444" s="391" t="str">
        <f t="shared" si="35"/>
        <v/>
      </c>
      <c r="I444" s="391" t="str">
        <f t="shared" si="36"/>
        <v/>
      </c>
      <c r="J444" s="391" t="str">
        <f t="shared" si="37"/>
        <v/>
      </c>
      <c r="K444" s="391" t="str">
        <f t="shared" si="38"/>
        <v/>
      </c>
      <c r="O444" s="367">
        <v>422</v>
      </c>
      <c r="P444" t="s">
        <v>1390</v>
      </c>
      <c r="Q444">
        <v>2.2799999999999998</v>
      </c>
      <c r="S444" s="1" t="str">
        <v/>
      </c>
      <c r="AC444" s="367" t="str">
        <f t="shared" si="39"/>
        <v/>
      </c>
    </row>
    <row r="445" spans="1:29">
      <c r="A445" s="367" t="str">
        <v/>
      </c>
      <c r="H445" s="391" t="str">
        <f t="shared" si="35"/>
        <v/>
      </c>
      <c r="I445" s="391" t="str">
        <f t="shared" si="36"/>
        <v/>
      </c>
      <c r="J445" s="391" t="str">
        <f t="shared" si="37"/>
        <v/>
      </c>
      <c r="K445" s="391" t="str">
        <f t="shared" si="38"/>
        <v/>
      </c>
      <c r="O445" s="367">
        <v>423</v>
      </c>
      <c r="P445" t="s">
        <v>1392</v>
      </c>
      <c r="Q445">
        <v>2.2799999999999998</v>
      </c>
      <c r="S445" s="1" t="str">
        <v/>
      </c>
      <c r="AC445" s="367" t="str">
        <f t="shared" si="39"/>
        <v/>
      </c>
    </row>
    <row r="446" spans="1:29">
      <c r="A446" s="367" t="str">
        <v/>
      </c>
      <c r="H446" s="391" t="str">
        <f t="shared" si="35"/>
        <v/>
      </c>
      <c r="I446" s="391" t="str">
        <f t="shared" si="36"/>
        <v/>
      </c>
      <c r="J446" s="391" t="str">
        <f t="shared" si="37"/>
        <v/>
      </c>
      <c r="K446" s="391" t="str">
        <f t="shared" si="38"/>
        <v/>
      </c>
      <c r="O446" s="367">
        <v>424</v>
      </c>
      <c r="P446" t="s">
        <v>1393</v>
      </c>
      <c r="Q446">
        <v>2.48</v>
      </c>
      <c r="S446" s="1" t="str">
        <v/>
      </c>
      <c r="AC446" s="367" t="str">
        <f t="shared" si="39"/>
        <v/>
      </c>
    </row>
    <row r="447" spans="1:29">
      <c r="A447" s="367" t="str">
        <v/>
      </c>
      <c r="H447" s="391" t="str">
        <f t="shared" si="35"/>
        <v/>
      </c>
      <c r="I447" s="391" t="str">
        <f t="shared" si="36"/>
        <v/>
      </c>
      <c r="J447" s="391" t="str">
        <f t="shared" si="37"/>
        <v/>
      </c>
      <c r="K447" s="391" t="str">
        <f t="shared" si="38"/>
        <v/>
      </c>
      <c r="O447" s="367">
        <v>425</v>
      </c>
      <c r="P447" t="s">
        <v>1394</v>
      </c>
      <c r="Q447">
        <v>2.48</v>
      </c>
      <c r="S447" s="1" t="str">
        <v/>
      </c>
      <c r="AC447" s="367" t="str">
        <f t="shared" si="39"/>
        <v/>
      </c>
    </row>
    <row r="448" spans="1:29">
      <c r="A448" s="367" t="str">
        <v/>
      </c>
      <c r="H448" s="391" t="str">
        <f t="shared" si="35"/>
        <v/>
      </c>
      <c r="I448" s="391" t="str">
        <f t="shared" si="36"/>
        <v/>
      </c>
      <c r="J448" s="391" t="str">
        <f t="shared" si="37"/>
        <v/>
      </c>
      <c r="K448" s="391" t="str">
        <f t="shared" si="38"/>
        <v/>
      </c>
      <c r="O448" s="367">
        <v>426</v>
      </c>
      <c r="P448" t="s">
        <v>1400</v>
      </c>
      <c r="Q448">
        <v>2.59</v>
      </c>
      <c r="S448" s="1" t="str">
        <v/>
      </c>
      <c r="AC448" s="367" t="str">
        <f t="shared" si="39"/>
        <v/>
      </c>
    </row>
    <row r="449" spans="1:29">
      <c r="A449" s="367" t="str">
        <v/>
      </c>
      <c r="H449" s="391" t="str">
        <f t="shared" si="35"/>
        <v/>
      </c>
      <c r="I449" s="391" t="str">
        <f t="shared" si="36"/>
        <v/>
      </c>
      <c r="J449" s="391" t="str">
        <f t="shared" si="37"/>
        <v/>
      </c>
      <c r="K449" s="391" t="str">
        <f t="shared" si="38"/>
        <v/>
      </c>
      <c r="O449" s="367">
        <v>427</v>
      </c>
      <c r="P449" t="s">
        <v>1395</v>
      </c>
      <c r="Q449">
        <v>2.88</v>
      </c>
      <c r="S449" s="1" t="str">
        <v/>
      </c>
      <c r="AC449" s="367" t="str">
        <f t="shared" si="39"/>
        <v/>
      </c>
    </row>
    <row r="450" spans="1:29">
      <c r="A450" s="367" t="str">
        <v/>
      </c>
      <c r="H450" s="391" t="str">
        <f t="shared" si="35"/>
        <v/>
      </c>
      <c r="I450" s="391" t="str">
        <f t="shared" si="36"/>
        <v/>
      </c>
      <c r="J450" s="391" t="str">
        <f t="shared" si="37"/>
        <v/>
      </c>
      <c r="K450" s="391" t="str">
        <f t="shared" si="38"/>
        <v/>
      </c>
      <c r="O450" s="367" t="str">
        <v/>
      </c>
      <c r="S450" s="1" t="str">
        <v/>
      </c>
      <c r="AC450" s="367" t="str">
        <f t="shared" si="39"/>
        <v/>
      </c>
    </row>
    <row r="451" spans="1:29">
      <c r="A451" s="367" t="str">
        <v/>
      </c>
      <c r="H451" s="391" t="str">
        <f t="shared" si="35"/>
        <v/>
      </c>
      <c r="I451" s="391" t="str">
        <f t="shared" si="36"/>
        <v/>
      </c>
      <c r="J451" s="391" t="str">
        <f t="shared" si="37"/>
        <v/>
      </c>
      <c r="K451" s="391" t="str">
        <f t="shared" si="38"/>
        <v/>
      </c>
      <c r="O451" s="367" t="str">
        <v/>
      </c>
      <c r="S451" s="1" t="str">
        <v/>
      </c>
      <c r="AC451" s="367" t="str">
        <f t="shared" si="39"/>
        <v/>
      </c>
    </row>
    <row r="452" spans="1:29">
      <c r="A452" s="367" t="str">
        <v/>
      </c>
      <c r="H452" s="391" t="str">
        <f t="shared" si="35"/>
        <v/>
      </c>
      <c r="I452" s="391" t="str">
        <f t="shared" si="36"/>
        <v/>
      </c>
      <c r="J452" s="391" t="str">
        <f t="shared" si="37"/>
        <v/>
      </c>
      <c r="K452" s="391" t="str">
        <f t="shared" si="38"/>
        <v/>
      </c>
      <c r="O452" s="367" t="str">
        <v/>
      </c>
      <c r="S452" s="1" t="str">
        <v/>
      </c>
      <c r="AC452" s="367" t="str">
        <f t="shared" si="39"/>
        <v/>
      </c>
    </row>
    <row r="453" spans="1:29">
      <c r="A453" s="367" t="str">
        <v/>
      </c>
      <c r="H453" s="391" t="str">
        <f t="shared" si="35"/>
        <v/>
      </c>
      <c r="I453" s="391" t="str">
        <f t="shared" si="36"/>
        <v/>
      </c>
      <c r="J453" s="391" t="str">
        <f t="shared" si="37"/>
        <v/>
      </c>
      <c r="K453" s="391" t="str">
        <f t="shared" si="38"/>
        <v/>
      </c>
      <c r="O453" s="367" t="str">
        <v/>
      </c>
      <c r="S453" s="1" t="str">
        <v/>
      </c>
      <c r="AC453" s="367" t="str">
        <f t="shared" si="39"/>
        <v/>
      </c>
    </row>
    <row r="454" spans="1:29">
      <c r="A454" s="367" t="str">
        <v/>
      </c>
      <c r="H454" s="391" t="str">
        <f t="shared" si="35"/>
        <v/>
      </c>
      <c r="I454" s="391" t="str">
        <f t="shared" si="36"/>
        <v/>
      </c>
      <c r="J454" s="391" t="str">
        <f t="shared" si="37"/>
        <v/>
      </c>
      <c r="K454" s="391" t="str">
        <f t="shared" si="38"/>
        <v/>
      </c>
      <c r="O454" s="367" t="str">
        <v/>
      </c>
      <c r="S454" s="1" t="str">
        <v/>
      </c>
      <c r="AC454" s="367" t="str">
        <f t="shared" si="39"/>
        <v/>
      </c>
    </row>
    <row r="455" spans="1:29">
      <c r="A455" s="367" t="str">
        <v/>
      </c>
      <c r="H455" s="391" t="str">
        <f t="shared" si="35"/>
        <v/>
      </c>
      <c r="I455" s="391" t="str">
        <f t="shared" si="36"/>
        <v/>
      </c>
      <c r="J455" s="391" t="str">
        <f t="shared" si="37"/>
        <v/>
      </c>
      <c r="K455" s="391" t="str">
        <f t="shared" si="38"/>
        <v/>
      </c>
      <c r="O455" s="367" t="str">
        <v/>
      </c>
      <c r="S455" s="1" t="str">
        <v/>
      </c>
      <c r="AC455" s="367" t="str">
        <f t="shared" si="39"/>
        <v/>
      </c>
    </row>
    <row r="456" spans="1:29">
      <c r="A456" s="367" t="str">
        <v/>
      </c>
      <c r="H456" s="391" t="str">
        <f t="shared" si="35"/>
        <v/>
      </c>
      <c r="I456" s="391" t="str">
        <f t="shared" si="36"/>
        <v/>
      </c>
      <c r="J456" s="391" t="str">
        <f t="shared" si="37"/>
        <v/>
      </c>
      <c r="K456" s="391" t="str">
        <f t="shared" si="38"/>
        <v/>
      </c>
      <c r="O456" s="367" t="str">
        <v/>
      </c>
      <c r="S456" s="1" t="str">
        <v/>
      </c>
      <c r="AC456" s="367" t="str">
        <f t="shared" si="39"/>
        <v/>
      </c>
    </row>
    <row r="457" spans="1:29">
      <c r="A457" s="367" t="str">
        <v/>
      </c>
      <c r="H457" s="391" t="str">
        <f t="shared" si="35"/>
        <v/>
      </c>
      <c r="I457" s="391" t="str">
        <f t="shared" si="36"/>
        <v/>
      </c>
      <c r="J457" s="391" t="str">
        <f t="shared" si="37"/>
        <v/>
      </c>
      <c r="K457" s="391" t="str">
        <f t="shared" si="38"/>
        <v/>
      </c>
      <c r="O457" s="367" t="str">
        <v/>
      </c>
      <c r="S457" s="1" t="str">
        <v/>
      </c>
      <c r="AC457" s="367" t="str">
        <f t="shared" si="39"/>
        <v/>
      </c>
    </row>
    <row r="458" spans="1:29">
      <c r="A458" s="367" t="str">
        <v/>
      </c>
      <c r="H458" s="391" t="str">
        <f t="shared" si="35"/>
        <v/>
      </c>
      <c r="I458" s="391" t="str">
        <f t="shared" si="36"/>
        <v/>
      </c>
      <c r="J458" s="391" t="str">
        <f t="shared" si="37"/>
        <v/>
      </c>
      <c r="K458" s="391" t="str">
        <f t="shared" si="38"/>
        <v/>
      </c>
      <c r="O458" s="367" t="str">
        <v/>
      </c>
      <c r="S458" s="1" t="str">
        <v/>
      </c>
      <c r="AC458" s="367" t="str">
        <f t="shared" si="39"/>
        <v/>
      </c>
    </row>
    <row r="459" spans="1:29">
      <c r="A459" s="367" t="str">
        <v/>
      </c>
      <c r="H459" s="391" t="str">
        <f t="shared" si="35"/>
        <v/>
      </c>
      <c r="I459" s="391" t="str">
        <f t="shared" si="36"/>
        <v/>
      </c>
      <c r="J459" s="391" t="str">
        <f t="shared" si="37"/>
        <v/>
      </c>
      <c r="K459" s="391" t="str">
        <f t="shared" si="38"/>
        <v/>
      </c>
      <c r="O459" s="367" t="str">
        <v/>
      </c>
      <c r="S459" s="1" t="str">
        <v/>
      </c>
      <c r="AC459" s="367" t="str">
        <f t="shared" si="39"/>
        <v/>
      </c>
    </row>
    <row r="460" spans="1:29">
      <c r="A460" s="367" t="str">
        <v/>
      </c>
      <c r="H460" s="391" t="str">
        <f t="shared" si="35"/>
        <v/>
      </c>
      <c r="I460" s="391" t="str">
        <f t="shared" si="36"/>
        <v/>
      </c>
      <c r="J460" s="391" t="str">
        <f t="shared" si="37"/>
        <v/>
      </c>
      <c r="K460" s="391" t="str">
        <f t="shared" si="38"/>
        <v/>
      </c>
      <c r="O460" s="367" t="str">
        <v/>
      </c>
      <c r="S460" s="1" t="str">
        <v/>
      </c>
      <c r="AC460" s="367" t="str">
        <f t="shared" si="39"/>
        <v/>
      </c>
    </row>
    <row r="461" spans="1:29">
      <c r="A461" s="367" t="str">
        <v/>
      </c>
      <c r="H461" s="391" t="str">
        <f t="shared" si="35"/>
        <v/>
      </c>
      <c r="I461" s="391" t="str">
        <f t="shared" si="36"/>
        <v/>
      </c>
      <c r="J461" s="391" t="str">
        <f t="shared" si="37"/>
        <v/>
      </c>
      <c r="K461" s="391" t="str">
        <f t="shared" si="38"/>
        <v/>
      </c>
      <c r="O461" s="367" t="str">
        <v/>
      </c>
      <c r="S461" s="1" t="str">
        <v/>
      </c>
      <c r="AC461" s="367" t="str">
        <f t="shared" si="39"/>
        <v/>
      </c>
    </row>
    <row r="462" spans="1:29">
      <c r="A462" s="367" t="str">
        <v/>
      </c>
      <c r="H462" s="391" t="str">
        <f t="shared" si="35"/>
        <v/>
      </c>
      <c r="I462" s="391" t="str">
        <f t="shared" si="36"/>
        <v/>
      </c>
      <c r="J462" s="391" t="str">
        <f t="shared" si="37"/>
        <v/>
      </c>
      <c r="K462" s="391" t="str">
        <f t="shared" si="38"/>
        <v/>
      </c>
      <c r="O462" s="367" t="str">
        <v/>
      </c>
      <c r="S462" s="1" t="str">
        <v/>
      </c>
      <c r="AC462" s="367" t="str">
        <f t="shared" si="39"/>
        <v/>
      </c>
    </row>
    <row r="463" spans="1:29">
      <c r="A463" s="367" t="str">
        <v/>
      </c>
      <c r="H463" s="391" t="str">
        <f t="shared" si="35"/>
        <v/>
      </c>
      <c r="I463" s="391" t="str">
        <f t="shared" si="36"/>
        <v/>
      </c>
      <c r="J463" s="391" t="str">
        <f t="shared" si="37"/>
        <v/>
      </c>
      <c r="K463" s="391" t="str">
        <f t="shared" si="38"/>
        <v/>
      </c>
      <c r="O463" s="367" t="str">
        <v/>
      </c>
      <c r="S463" s="1" t="str">
        <v/>
      </c>
      <c r="AC463" s="367" t="str">
        <f t="shared" si="39"/>
        <v/>
      </c>
    </row>
    <row r="464" spans="1:29">
      <c r="A464" s="367" t="str">
        <v/>
      </c>
      <c r="H464" s="391" t="str">
        <f t="shared" si="35"/>
        <v/>
      </c>
      <c r="I464" s="391" t="str">
        <f t="shared" si="36"/>
        <v/>
      </c>
      <c r="J464" s="391" t="str">
        <f t="shared" si="37"/>
        <v/>
      </c>
      <c r="K464" s="391" t="str">
        <f t="shared" si="38"/>
        <v/>
      </c>
      <c r="O464" s="367" t="str">
        <v/>
      </c>
      <c r="S464" s="1" t="str">
        <v/>
      </c>
      <c r="AC464" s="367" t="str">
        <f t="shared" si="39"/>
        <v/>
      </c>
    </row>
    <row r="465" spans="1:29">
      <c r="A465" s="367" t="str">
        <v/>
      </c>
      <c r="H465" s="391" t="str">
        <f t="shared" si="35"/>
        <v/>
      </c>
      <c r="I465" s="391" t="str">
        <f t="shared" si="36"/>
        <v/>
      </c>
      <c r="J465" s="391" t="str">
        <f t="shared" si="37"/>
        <v/>
      </c>
      <c r="K465" s="391" t="str">
        <f t="shared" si="38"/>
        <v/>
      </c>
      <c r="O465" s="367" t="str">
        <v/>
      </c>
      <c r="S465" s="1" t="str">
        <v/>
      </c>
      <c r="AC465" s="367" t="str">
        <f t="shared" si="39"/>
        <v/>
      </c>
    </row>
    <row r="466" spans="1:29">
      <c r="A466" s="367" t="str">
        <v/>
      </c>
      <c r="H466" s="391" t="str">
        <f t="shared" si="35"/>
        <v/>
      </c>
      <c r="I466" s="391" t="str">
        <f t="shared" si="36"/>
        <v/>
      </c>
      <c r="J466" s="391" t="str">
        <f t="shared" si="37"/>
        <v/>
      </c>
      <c r="K466" s="391" t="str">
        <f t="shared" si="38"/>
        <v/>
      </c>
      <c r="O466" s="367" t="str">
        <v/>
      </c>
      <c r="S466" s="1" t="str">
        <v/>
      </c>
      <c r="AC466" s="367" t="str">
        <f t="shared" si="39"/>
        <v/>
      </c>
    </row>
    <row r="467" spans="1:29">
      <c r="A467" s="367" t="str">
        <v/>
      </c>
      <c r="H467" s="391" t="str">
        <f t="shared" si="35"/>
        <v/>
      </c>
      <c r="I467" s="391" t="str">
        <f t="shared" si="36"/>
        <v/>
      </c>
      <c r="J467" s="391" t="str">
        <f t="shared" si="37"/>
        <v/>
      </c>
      <c r="K467" s="391" t="str">
        <f t="shared" si="38"/>
        <v/>
      </c>
      <c r="O467" s="367" t="str">
        <v/>
      </c>
      <c r="S467" s="1" t="str">
        <v/>
      </c>
      <c r="AC467" s="367" t="str">
        <f t="shared" si="39"/>
        <v/>
      </c>
    </row>
    <row r="468" spans="1:29">
      <c r="A468" s="367" t="str">
        <v/>
      </c>
      <c r="H468" s="391" t="str">
        <f t="shared" si="35"/>
        <v/>
      </c>
      <c r="I468" s="391" t="str">
        <f t="shared" si="36"/>
        <v/>
      </c>
      <c r="J468" s="391" t="str">
        <f t="shared" si="37"/>
        <v/>
      </c>
      <c r="K468" s="391" t="str">
        <f t="shared" si="38"/>
        <v/>
      </c>
      <c r="O468" s="367" t="str">
        <v/>
      </c>
      <c r="S468" s="1" t="str">
        <v/>
      </c>
      <c r="AC468" s="367" t="str">
        <f t="shared" si="39"/>
        <v/>
      </c>
    </row>
    <row r="469" spans="1:29">
      <c r="A469" s="367" t="str">
        <v/>
      </c>
      <c r="H469" s="391" t="str">
        <f t="shared" si="35"/>
        <v/>
      </c>
      <c r="I469" s="391" t="str">
        <f t="shared" si="36"/>
        <v/>
      </c>
      <c r="J469" s="391" t="str">
        <f t="shared" si="37"/>
        <v/>
      </c>
      <c r="K469" s="391" t="str">
        <f t="shared" si="38"/>
        <v/>
      </c>
      <c r="O469" s="367" t="str">
        <v/>
      </c>
      <c r="S469" s="1" t="str">
        <v/>
      </c>
      <c r="AC469" s="367" t="str">
        <f t="shared" si="39"/>
        <v/>
      </c>
    </row>
    <row r="470" spans="1:29">
      <c r="A470" s="367" t="str">
        <v/>
      </c>
      <c r="H470" s="391" t="str">
        <f t="shared" si="35"/>
        <v/>
      </c>
      <c r="I470" s="391" t="str">
        <f t="shared" si="36"/>
        <v/>
      </c>
      <c r="J470" s="391" t="str">
        <f t="shared" si="37"/>
        <v/>
      </c>
      <c r="K470" s="391" t="str">
        <f t="shared" si="38"/>
        <v/>
      </c>
      <c r="O470" s="367" t="str">
        <v/>
      </c>
      <c r="S470" s="1" t="str">
        <v/>
      </c>
      <c r="AC470" s="367" t="str">
        <f t="shared" si="39"/>
        <v/>
      </c>
    </row>
    <row r="471" spans="1:29">
      <c r="A471" s="367" t="str">
        <v/>
      </c>
      <c r="H471" s="391" t="str">
        <f t="shared" ref="H471:H534" si="40">IF($C471="","",ROUND((($B$2*$F471*($B$5/1000))/$B$6)*(1+IF($B$18="",0,$B$18)),2))</f>
        <v/>
      </c>
      <c r="I471" s="391" t="str">
        <f t="shared" ref="I471:I534" si="41">IF($C471="","",ROUND((($B$3*$F471*($B$5/1000))/$B$6)*(1+IF($B$18="",0,$B$18)),2))</f>
        <v/>
      </c>
      <c r="J471" s="391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1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7" t="str">
        <v/>
      </c>
      <c r="S471" s="1" t="str">
        <v/>
      </c>
      <c r="AC471" s="367" t="str">
        <f t="shared" si="39"/>
        <v/>
      </c>
    </row>
    <row r="472" spans="1:29">
      <c r="A472" s="367" t="str">
        <v/>
      </c>
      <c r="H472" s="391" t="str">
        <f t="shared" si="40"/>
        <v/>
      </c>
      <c r="I472" s="391" t="str">
        <f t="shared" si="41"/>
        <v/>
      </c>
      <c r="J472" s="391" t="str">
        <f t="shared" si="42"/>
        <v/>
      </c>
      <c r="K472" s="391" t="str">
        <f t="shared" si="43"/>
        <v/>
      </c>
      <c r="O472" s="367" t="str">
        <v/>
      </c>
      <c r="S472" s="1" t="str">
        <v/>
      </c>
      <c r="AC472" s="367" t="str">
        <f t="shared" si="39"/>
        <v/>
      </c>
    </row>
    <row r="473" spans="1:29">
      <c r="A473" s="367" t="str">
        <v/>
      </c>
      <c r="H473" s="391" t="str">
        <f t="shared" si="40"/>
        <v/>
      </c>
      <c r="I473" s="391" t="str">
        <f t="shared" si="41"/>
        <v/>
      </c>
      <c r="J473" s="391" t="str">
        <f t="shared" si="42"/>
        <v/>
      </c>
      <c r="K473" s="391" t="str">
        <f t="shared" si="43"/>
        <v/>
      </c>
      <c r="O473" s="367" t="str">
        <v/>
      </c>
      <c r="S473" s="1" t="str">
        <v/>
      </c>
      <c r="AC473" s="367" t="str">
        <f t="shared" si="39"/>
        <v/>
      </c>
    </row>
    <row r="474" spans="1:29">
      <c r="A474" s="367" t="str">
        <v/>
      </c>
      <c r="H474" s="391" t="str">
        <f t="shared" si="40"/>
        <v/>
      </c>
      <c r="I474" s="391" t="str">
        <f t="shared" si="41"/>
        <v/>
      </c>
      <c r="J474" s="391" t="str">
        <f t="shared" si="42"/>
        <v/>
      </c>
      <c r="K474" s="391" t="str">
        <f t="shared" si="43"/>
        <v/>
      </c>
      <c r="O474" s="367" t="str">
        <v/>
      </c>
      <c r="S474" s="1" t="str">
        <v/>
      </c>
      <c r="AC474" s="367" t="str">
        <f t="shared" si="39"/>
        <v/>
      </c>
    </row>
    <row r="475" spans="1:29">
      <c r="A475" s="367" t="str">
        <v/>
      </c>
      <c r="H475" s="391" t="str">
        <f t="shared" si="40"/>
        <v/>
      </c>
      <c r="I475" s="391" t="str">
        <f t="shared" si="41"/>
        <v/>
      </c>
      <c r="J475" s="391" t="str">
        <f t="shared" si="42"/>
        <v/>
      </c>
      <c r="K475" s="391" t="str">
        <f t="shared" si="43"/>
        <v/>
      </c>
      <c r="O475" s="367" t="str">
        <v/>
      </c>
      <c r="S475" s="1" t="str">
        <v/>
      </c>
      <c r="AC475" s="367" t="str">
        <f t="shared" si="39"/>
        <v/>
      </c>
    </row>
    <row r="476" spans="1:29">
      <c r="A476" s="367" t="str">
        <v/>
      </c>
      <c r="H476" s="391" t="str">
        <f t="shared" si="40"/>
        <v/>
      </c>
      <c r="I476" s="391" t="str">
        <f t="shared" si="41"/>
        <v/>
      </c>
      <c r="J476" s="391" t="str">
        <f t="shared" si="42"/>
        <v/>
      </c>
      <c r="K476" s="391" t="str">
        <f t="shared" si="43"/>
        <v/>
      </c>
      <c r="O476" s="367" t="str">
        <v/>
      </c>
      <c r="S476" s="1" t="str">
        <v/>
      </c>
      <c r="AC476" s="367" t="str">
        <f t="shared" si="39"/>
        <v/>
      </c>
    </row>
    <row r="477" spans="1:29">
      <c r="A477" s="367" t="str">
        <v/>
      </c>
      <c r="H477" s="391" t="str">
        <f t="shared" si="40"/>
        <v/>
      </c>
      <c r="I477" s="391" t="str">
        <f t="shared" si="41"/>
        <v/>
      </c>
      <c r="J477" s="391" t="str">
        <f t="shared" si="42"/>
        <v/>
      </c>
      <c r="K477" s="391" t="str">
        <f t="shared" si="43"/>
        <v/>
      </c>
      <c r="O477" s="367" t="str">
        <v/>
      </c>
      <c r="S477" s="1" t="str">
        <v/>
      </c>
      <c r="AC477" s="367" t="str">
        <f t="shared" si="39"/>
        <v/>
      </c>
    </row>
    <row r="478" spans="1:29">
      <c r="A478" s="367" t="str">
        <v/>
      </c>
      <c r="H478" s="391" t="str">
        <f t="shared" si="40"/>
        <v/>
      </c>
      <c r="I478" s="391" t="str">
        <f t="shared" si="41"/>
        <v/>
      </c>
      <c r="J478" s="391" t="str">
        <f t="shared" si="42"/>
        <v/>
      </c>
      <c r="K478" s="391" t="str">
        <f t="shared" si="43"/>
        <v/>
      </c>
      <c r="O478" s="367" t="str">
        <v/>
      </c>
      <c r="S478" s="1" t="str">
        <v/>
      </c>
      <c r="AC478" s="367" t="str">
        <f t="shared" si="39"/>
        <v/>
      </c>
    </row>
    <row r="479" spans="1:29">
      <c r="A479" s="367" t="str">
        <v/>
      </c>
      <c r="H479" s="391" t="str">
        <f t="shared" si="40"/>
        <v/>
      </c>
      <c r="I479" s="391" t="str">
        <f t="shared" si="41"/>
        <v/>
      </c>
      <c r="J479" s="391" t="str">
        <f t="shared" si="42"/>
        <v/>
      </c>
      <c r="K479" s="391" t="str">
        <f t="shared" si="43"/>
        <v/>
      </c>
      <c r="O479" s="367" t="str">
        <v/>
      </c>
      <c r="S479" s="1" t="str">
        <v/>
      </c>
      <c r="AC479" s="367" t="str">
        <f t="shared" si="39"/>
        <v/>
      </c>
    </row>
    <row r="480" spans="1:29">
      <c r="A480" s="367" t="str">
        <v/>
      </c>
      <c r="H480" s="391" t="str">
        <f t="shared" si="40"/>
        <v/>
      </c>
      <c r="I480" s="391" t="str">
        <f t="shared" si="41"/>
        <v/>
      </c>
      <c r="J480" s="391" t="str">
        <f t="shared" si="42"/>
        <v/>
      </c>
      <c r="K480" s="391" t="str">
        <f t="shared" si="43"/>
        <v/>
      </c>
      <c r="O480" s="367" t="str">
        <v/>
      </c>
      <c r="S480" s="1" t="str">
        <v/>
      </c>
      <c r="AC480" s="367" t="str">
        <f t="shared" si="39"/>
        <v/>
      </c>
    </row>
    <row r="481" spans="1:29">
      <c r="A481" s="367" t="str">
        <v/>
      </c>
      <c r="H481" s="391" t="str">
        <f t="shared" si="40"/>
        <v/>
      </c>
      <c r="I481" s="391" t="str">
        <f t="shared" si="41"/>
        <v/>
      </c>
      <c r="J481" s="391" t="str">
        <f t="shared" si="42"/>
        <v/>
      </c>
      <c r="K481" s="391" t="str">
        <f t="shared" si="43"/>
        <v/>
      </c>
      <c r="O481" s="367" t="str">
        <v/>
      </c>
      <c r="S481" s="1" t="str">
        <v/>
      </c>
      <c r="AC481" s="367" t="str">
        <f t="shared" si="39"/>
        <v/>
      </c>
    </row>
    <row r="482" spans="1:29">
      <c r="A482" s="367" t="str">
        <v/>
      </c>
      <c r="H482" s="391" t="str">
        <f t="shared" si="40"/>
        <v/>
      </c>
      <c r="I482" s="391" t="str">
        <f t="shared" si="41"/>
        <v/>
      </c>
      <c r="J482" s="391" t="str">
        <f t="shared" si="42"/>
        <v/>
      </c>
      <c r="K482" s="391" t="str">
        <f t="shared" si="43"/>
        <v/>
      </c>
      <c r="O482" s="367" t="str">
        <v/>
      </c>
      <c r="S482" s="1" t="str">
        <v/>
      </c>
      <c r="AC482" s="367" t="str">
        <f t="shared" si="39"/>
        <v/>
      </c>
    </row>
    <row r="483" spans="1:29">
      <c r="A483" s="367" t="str">
        <v/>
      </c>
      <c r="H483" s="391" t="str">
        <f t="shared" si="40"/>
        <v/>
      </c>
      <c r="I483" s="391" t="str">
        <f t="shared" si="41"/>
        <v/>
      </c>
      <c r="J483" s="391" t="str">
        <f t="shared" si="42"/>
        <v/>
      </c>
      <c r="K483" s="391" t="str">
        <f t="shared" si="43"/>
        <v/>
      </c>
      <c r="O483" s="367" t="str">
        <v/>
      </c>
      <c r="S483" s="1" t="str">
        <v/>
      </c>
      <c r="AC483" s="367" t="str">
        <f t="shared" si="39"/>
        <v/>
      </c>
    </row>
    <row r="484" spans="1:29">
      <c r="A484" s="367" t="str">
        <v/>
      </c>
      <c r="H484" s="391" t="str">
        <f t="shared" si="40"/>
        <v/>
      </c>
      <c r="I484" s="391" t="str">
        <f t="shared" si="41"/>
        <v/>
      </c>
      <c r="J484" s="391" t="str">
        <f t="shared" si="42"/>
        <v/>
      </c>
      <c r="K484" s="391" t="str">
        <f t="shared" si="43"/>
        <v/>
      </c>
      <c r="O484" s="367" t="str">
        <v/>
      </c>
      <c r="S484" s="1" t="str">
        <v/>
      </c>
      <c r="AC484" s="367" t="str">
        <f t="shared" si="39"/>
        <v/>
      </c>
    </row>
    <row r="485" spans="1:29">
      <c r="A485" s="367" t="str">
        <v/>
      </c>
      <c r="H485" s="391" t="str">
        <f t="shared" si="40"/>
        <v/>
      </c>
      <c r="I485" s="391" t="str">
        <f t="shared" si="41"/>
        <v/>
      </c>
      <c r="J485" s="391" t="str">
        <f t="shared" si="42"/>
        <v/>
      </c>
      <c r="K485" s="391" t="str">
        <f t="shared" si="43"/>
        <v/>
      </c>
      <c r="O485" s="367" t="str">
        <v/>
      </c>
      <c r="S485" s="1" t="str">
        <v/>
      </c>
      <c r="AC485" s="367" t="str">
        <f t="shared" si="39"/>
        <v/>
      </c>
    </row>
    <row r="486" spans="1:29">
      <c r="A486" s="367" t="str">
        <v/>
      </c>
      <c r="H486" s="391" t="str">
        <f t="shared" si="40"/>
        <v/>
      </c>
      <c r="I486" s="391" t="str">
        <f t="shared" si="41"/>
        <v/>
      </c>
      <c r="J486" s="391" t="str">
        <f t="shared" si="42"/>
        <v/>
      </c>
      <c r="K486" s="391" t="str">
        <f t="shared" si="43"/>
        <v/>
      </c>
      <c r="O486" s="367" t="str">
        <v/>
      </c>
      <c r="S486" s="1" t="str">
        <v/>
      </c>
      <c r="AC486" s="367" t="str">
        <f t="shared" si="39"/>
        <v/>
      </c>
    </row>
    <row r="487" spans="1:29">
      <c r="A487" s="367" t="str">
        <v/>
      </c>
      <c r="H487" s="391" t="str">
        <f t="shared" si="40"/>
        <v/>
      </c>
      <c r="I487" s="391" t="str">
        <f t="shared" si="41"/>
        <v/>
      </c>
      <c r="J487" s="391" t="str">
        <f t="shared" si="42"/>
        <v/>
      </c>
      <c r="K487" s="391" t="str">
        <f t="shared" si="43"/>
        <v/>
      </c>
      <c r="O487" s="367" t="str">
        <v/>
      </c>
      <c r="S487" s="1" t="str">
        <v/>
      </c>
      <c r="AC487" s="367" t="str">
        <f t="shared" si="39"/>
        <v/>
      </c>
    </row>
    <row r="488" spans="1:29">
      <c r="A488" s="367" t="str">
        <v/>
      </c>
      <c r="H488" s="391" t="str">
        <f t="shared" si="40"/>
        <v/>
      </c>
      <c r="I488" s="391" t="str">
        <f t="shared" si="41"/>
        <v/>
      </c>
      <c r="J488" s="391" t="str">
        <f t="shared" si="42"/>
        <v/>
      </c>
      <c r="K488" s="391" t="str">
        <f t="shared" si="43"/>
        <v/>
      </c>
      <c r="O488" s="367" t="str">
        <v/>
      </c>
      <c r="S488" s="1" t="str">
        <v/>
      </c>
      <c r="AC488" s="367" t="str">
        <f t="shared" si="39"/>
        <v/>
      </c>
    </row>
    <row r="489" spans="1:29">
      <c r="A489" s="367" t="str">
        <v/>
      </c>
      <c r="H489" s="391" t="str">
        <f t="shared" si="40"/>
        <v/>
      </c>
      <c r="I489" s="391" t="str">
        <f t="shared" si="41"/>
        <v/>
      </c>
      <c r="J489" s="391" t="str">
        <f t="shared" si="42"/>
        <v/>
      </c>
      <c r="K489" s="391" t="str">
        <f t="shared" si="43"/>
        <v/>
      </c>
      <c r="O489" s="367" t="str">
        <v/>
      </c>
      <c r="S489" s="1" t="str">
        <v/>
      </c>
      <c r="AC489" s="367" t="str">
        <f t="shared" si="39"/>
        <v/>
      </c>
    </row>
    <row r="490" spans="1:29">
      <c r="A490" s="367" t="str">
        <v/>
      </c>
      <c r="H490" s="391" t="str">
        <f t="shared" si="40"/>
        <v/>
      </c>
      <c r="I490" s="391" t="str">
        <f t="shared" si="41"/>
        <v/>
      </c>
      <c r="J490" s="391" t="str">
        <f t="shared" si="42"/>
        <v/>
      </c>
      <c r="K490" s="391" t="str">
        <f t="shared" si="43"/>
        <v/>
      </c>
      <c r="O490" s="367" t="str">
        <v/>
      </c>
      <c r="S490" s="1" t="str">
        <v/>
      </c>
      <c r="AC490" s="367" t="str">
        <f t="shared" si="39"/>
        <v/>
      </c>
    </row>
    <row r="491" spans="1:29">
      <c r="A491" s="367" t="str">
        <v/>
      </c>
      <c r="H491" s="391" t="str">
        <f t="shared" si="40"/>
        <v/>
      </c>
      <c r="I491" s="391" t="str">
        <f t="shared" si="41"/>
        <v/>
      </c>
      <c r="J491" s="391" t="str">
        <f t="shared" si="42"/>
        <v/>
      </c>
      <c r="K491" s="391" t="str">
        <f t="shared" si="43"/>
        <v/>
      </c>
      <c r="O491" s="367" t="str">
        <v/>
      </c>
      <c r="S491" s="1" t="str">
        <v/>
      </c>
      <c r="AC491" s="367" t="str">
        <f t="shared" si="39"/>
        <v/>
      </c>
    </row>
    <row r="492" spans="1:29">
      <c r="A492" s="367" t="str">
        <v/>
      </c>
      <c r="H492" s="391" t="str">
        <f t="shared" si="40"/>
        <v/>
      </c>
      <c r="I492" s="391" t="str">
        <f t="shared" si="41"/>
        <v/>
      </c>
      <c r="J492" s="391" t="str">
        <f t="shared" si="42"/>
        <v/>
      </c>
      <c r="K492" s="391" t="str">
        <f t="shared" si="43"/>
        <v/>
      </c>
      <c r="O492" s="367" t="str">
        <v/>
      </c>
      <c r="S492" s="1" t="str">
        <v/>
      </c>
      <c r="AC492" s="367" t="str">
        <f t="shared" si="39"/>
        <v/>
      </c>
    </row>
    <row r="493" spans="1:29">
      <c r="A493" s="367" t="str">
        <v/>
      </c>
      <c r="H493" s="391" t="str">
        <f t="shared" si="40"/>
        <v/>
      </c>
      <c r="I493" s="391" t="str">
        <f t="shared" si="41"/>
        <v/>
      </c>
      <c r="J493" s="391" t="str">
        <f t="shared" si="42"/>
        <v/>
      </c>
      <c r="K493" s="391" t="str">
        <f t="shared" si="43"/>
        <v/>
      </c>
      <c r="O493" s="367" t="str">
        <v/>
      </c>
      <c r="S493" s="1" t="str">
        <v/>
      </c>
      <c r="AC493" s="367" t="str">
        <f t="shared" si="39"/>
        <v/>
      </c>
    </row>
    <row r="494" spans="1:29">
      <c r="A494" s="367" t="str">
        <v/>
      </c>
      <c r="H494" s="391" t="str">
        <f t="shared" si="40"/>
        <v/>
      </c>
      <c r="I494" s="391" t="str">
        <f t="shared" si="41"/>
        <v/>
      </c>
      <c r="J494" s="391" t="str">
        <f t="shared" si="42"/>
        <v/>
      </c>
      <c r="K494" s="391" t="str">
        <f t="shared" si="43"/>
        <v/>
      </c>
      <c r="O494" s="367" t="str">
        <v/>
      </c>
      <c r="S494" s="1" t="str">
        <v/>
      </c>
      <c r="AC494" s="367" t="str">
        <f t="shared" si="39"/>
        <v/>
      </c>
    </row>
    <row r="495" spans="1:29">
      <c r="A495" s="367" t="str">
        <v/>
      </c>
      <c r="H495" s="391" t="str">
        <f t="shared" si="40"/>
        <v/>
      </c>
      <c r="I495" s="391" t="str">
        <f t="shared" si="41"/>
        <v/>
      </c>
      <c r="J495" s="391" t="str">
        <f t="shared" si="42"/>
        <v/>
      </c>
      <c r="K495" s="391" t="str">
        <f t="shared" si="43"/>
        <v/>
      </c>
      <c r="O495" s="367" t="str">
        <v/>
      </c>
      <c r="S495" s="1" t="str">
        <v/>
      </c>
      <c r="AC495" s="367" t="str">
        <f t="shared" si="39"/>
        <v/>
      </c>
    </row>
    <row r="496" spans="1:29">
      <c r="A496" s="367" t="str">
        <v/>
      </c>
      <c r="H496" s="391" t="str">
        <f t="shared" si="40"/>
        <v/>
      </c>
      <c r="I496" s="391" t="str">
        <f t="shared" si="41"/>
        <v/>
      </c>
      <c r="J496" s="391" t="str">
        <f t="shared" si="42"/>
        <v/>
      </c>
      <c r="K496" s="391" t="str">
        <f t="shared" si="43"/>
        <v/>
      </c>
      <c r="O496" s="367" t="str">
        <v/>
      </c>
      <c r="S496" s="1" t="str">
        <v/>
      </c>
      <c r="AC496" s="367" t="str">
        <f t="shared" ref="AC496:AC559" si="44">IF($AB496&lt;&gt;"",$AB496,IFERROR(ROUNDUP($Z496/$Y496,1),""))</f>
        <v/>
      </c>
    </row>
    <row r="497" spans="1:29">
      <c r="A497" s="367" t="str">
        <v/>
      </c>
      <c r="H497" s="391" t="str">
        <f t="shared" si="40"/>
        <v/>
      </c>
      <c r="I497" s="391" t="str">
        <f t="shared" si="41"/>
        <v/>
      </c>
      <c r="J497" s="391" t="str">
        <f t="shared" si="42"/>
        <v/>
      </c>
      <c r="K497" s="391" t="str">
        <f t="shared" si="43"/>
        <v/>
      </c>
      <c r="O497" s="367" t="str">
        <v/>
      </c>
      <c r="S497" s="1" t="str">
        <v/>
      </c>
      <c r="AC497" s="367" t="str">
        <f t="shared" si="44"/>
        <v/>
      </c>
    </row>
    <row r="498" spans="1:29">
      <c r="A498" s="367" t="str">
        <v/>
      </c>
      <c r="H498" s="391" t="str">
        <f t="shared" si="40"/>
        <v/>
      </c>
      <c r="I498" s="391" t="str">
        <f t="shared" si="41"/>
        <v/>
      </c>
      <c r="J498" s="391" t="str">
        <f t="shared" si="42"/>
        <v/>
      </c>
      <c r="K498" s="391" t="str">
        <f t="shared" si="43"/>
        <v/>
      </c>
      <c r="O498" s="367" t="str">
        <v/>
      </c>
      <c r="S498" s="1" t="str">
        <v/>
      </c>
      <c r="AC498" s="367" t="str">
        <f t="shared" si="44"/>
        <v/>
      </c>
    </row>
    <row r="499" spans="1:29">
      <c r="A499" s="367" t="str">
        <v/>
      </c>
      <c r="H499" s="391" t="str">
        <f t="shared" si="40"/>
        <v/>
      </c>
      <c r="I499" s="391" t="str">
        <f t="shared" si="41"/>
        <v/>
      </c>
      <c r="J499" s="391" t="str">
        <f t="shared" si="42"/>
        <v/>
      </c>
      <c r="K499" s="391" t="str">
        <f t="shared" si="43"/>
        <v/>
      </c>
      <c r="O499" s="367" t="str">
        <v/>
      </c>
      <c r="S499" s="1" t="str">
        <v/>
      </c>
      <c r="AC499" s="367" t="str">
        <f t="shared" si="44"/>
        <v/>
      </c>
    </row>
    <row r="500" spans="1:29">
      <c r="A500" s="367" t="str">
        <v/>
      </c>
      <c r="H500" s="391" t="str">
        <f t="shared" si="40"/>
        <v/>
      </c>
      <c r="I500" s="391" t="str">
        <f t="shared" si="41"/>
        <v/>
      </c>
      <c r="J500" s="391" t="str">
        <f t="shared" si="42"/>
        <v/>
      </c>
      <c r="K500" s="391" t="str">
        <f t="shared" si="43"/>
        <v/>
      </c>
      <c r="O500" s="367" t="str">
        <v/>
      </c>
      <c r="S500" s="1" t="str">
        <v/>
      </c>
      <c r="AC500" s="367" t="str">
        <f t="shared" si="44"/>
        <v/>
      </c>
    </row>
    <row r="501" spans="1:29">
      <c r="A501" s="367" t="str">
        <v/>
      </c>
      <c r="H501" s="391" t="str">
        <f t="shared" si="40"/>
        <v/>
      </c>
      <c r="I501" s="391" t="str">
        <f t="shared" si="41"/>
        <v/>
      </c>
      <c r="J501" s="391" t="str">
        <f t="shared" si="42"/>
        <v/>
      </c>
      <c r="K501" s="391" t="str">
        <f t="shared" si="43"/>
        <v/>
      </c>
      <c r="O501" s="367" t="str">
        <v/>
      </c>
      <c r="S501" s="1" t="str">
        <v/>
      </c>
      <c r="AC501" s="367" t="str">
        <f t="shared" si="44"/>
        <v/>
      </c>
    </row>
    <row r="502" spans="1:29">
      <c r="A502" s="367" t="str">
        <v/>
      </c>
      <c r="H502" s="391" t="str">
        <f t="shared" si="40"/>
        <v/>
      </c>
      <c r="I502" s="391" t="str">
        <f t="shared" si="41"/>
        <v/>
      </c>
      <c r="J502" s="391" t="str">
        <f t="shared" si="42"/>
        <v/>
      </c>
      <c r="K502" s="391" t="str">
        <f t="shared" si="43"/>
        <v/>
      </c>
      <c r="O502" s="367" t="str">
        <v/>
      </c>
      <c r="S502" s="1" t="str">
        <v/>
      </c>
      <c r="AC502" s="367" t="str">
        <f t="shared" si="44"/>
        <v/>
      </c>
    </row>
    <row r="503" spans="1:29">
      <c r="A503" s="367" t="str">
        <v/>
      </c>
      <c r="H503" s="391" t="str">
        <f t="shared" si="40"/>
        <v/>
      </c>
      <c r="I503" s="391" t="str">
        <f t="shared" si="41"/>
        <v/>
      </c>
      <c r="J503" s="391" t="str">
        <f t="shared" si="42"/>
        <v/>
      </c>
      <c r="K503" s="391" t="str">
        <f t="shared" si="43"/>
        <v/>
      </c>
      <c r="O503" s="367" t="str">
        <v/>
      </c>
      <c r="S503" s="1" t="str">
        <v/>
      </c>
      <c r="AC503" s="367" t="str">
        <f t="shared" si="44"/>
        <v/>
      </c>
    </row>
    <row r="504" spans="1:29">
      <c r="A504" s="367" t="str">
        <v/>
      </c>
      <c r="H504" s="391" t="str">
        <f t="shared" si="40"/>
        <v/>
      </c>
      <c r="I504" s="391" t="str">
        <f t="shared" si="41"/>
        <v/>
      </c>
      <c r="J504" s="391" t="str">
        <f t="shared" si="42"/>
        <v/>
      </c>
      <c r="K504" s="391" t="str">
        <f t="shared" si="43"/>
        <v/>
      </c>
      <c r="O504" s="367" t="str">
        <v/>
      </c>
      <c r="S504" s="1" t="str">
        <v/>
      </c>
      <c r="AC504" s="367" t="str">
        <f t="shared" si="44"/>
        <v/>
      </c>
    </row>
    <row r="505" spans="1:29">
      <c r="A505" s="367" t="str">
        <v/>
      </c>
      <c r="H505" s="391" t="str">
        <f t="shared" si="40"/>
        <v/>
      </c>
      <c r="I505" s="391" t="str">
        <f t="shared" si="41"/>
        <v/>
      </c>
      <c r="J505" s="391" t="str">
        <f t="shared" si="42"/>
        <v/>
      </c>
      <c r="K505" s="391" t="str">
        <f t="shared" si="43"/>
        <v/>
      </c>
      <c r="O505" s="367" t="str">
        <v/>
      </c>
      <c r="S505" s="1" t="str">
        <v/>
      </c>
      <c r="AC505" s="367" t="str">
        <f t="shared" si="44"/>
        <v/>
      </c>
    </row>
    <row r="506" spans="1:29">
      <c r="A506" s="367" t="str">
        <v/>
      </c>
      <c r="H506" s="391" t="str">
        <f t="shared" si="40"/>
        <v/>
      </c>
      <c r="I506" s="391" t="str">
        <f t="shared" si="41"/>
        <v/>
      </c>
      <c r="J506" s="391" t="str">
        <f t="shared" si="42"/>
        <v/>
      </c>
      <c r="K506" s="391" t="str">
        <f t="shared" si="43"/>
        <v/>
      </c>
      <c r="O506" s="367" t="str">
        <v/>
      </c>
      <c r="S506" s="1" t="str">
        <v/>
      </c>
      <c r="AC506" s="367" t="str">
        <f t="shared" si="44"/>
        <v/>
      </c>
    </row>
    <row r="507" spans="1:29">
      <c r="A507" s="367" t="str">
        <v/>
      </c>
      <c r="H507" s="391" t="str">
        <f t="shared" si="40"/>
        <v/>
      </c>
      <c r="I507" s="391" t="str">
        <f t="shared" si="41"/>
        <v/>
      </c>
      <c r="J507" s="391" t="str">
        <f t="shared" si="42"/>
        <v/>
      </c>
      <c r="K507" s="391" t="str">
        <f t="shared" si="43"/>
        <v/>
      </c>
      <c r="O507" s="367" t="str">
        <v/>
      </c>
      <c r="S507" s="1" t="str">
        <v/>
      </c>
      <c r="AC507" s="367" t="str">
        <f t="shared" si="44"/>
        <v/>
      </c>
    </row>
    <row r="508" spans="1:29">
      <c r="A508" s="367" t="str">
        <v/>
      </c>
      <c r="H508" s="391" t="str">
        <f t="shared" si="40"/>
        <v/>
      </c>
      <c r="I508" s="391" t="str">
        <f t="shared" si="41"/>
        <v/>
      </c>
      <c r="J508" s="391" t="str">
        <f t="shared" si="42"/>
        <v/>
      </c>
      <c r="K508" s="391" t="str">
        <f t="shared" si="43"/>
        <v/>
      </c>
      <c r="O508" s="367" t="str">
        <v/>
      </c>
      <c r="S508" s="1" t="str">
        <v/>
      </c>
      <c r="AC508" s="367" t="str">
        <f t="shared" si="44"/>
        <v/>
      </c>
    </row>
    <row r="509" spans="1:29">
      <c r="A509" s="367" t="str">
        <v/>
      </c>
      <c r="H509" s="391" t="str">
        <f t="shared" si="40"/>
        <v/>
      </c>
      <c r="I509" s="391" t="str">
        <f t="shared" si="41"/>
        <v/>
      </c>
      <c r="J509" s="391" t="str">
        <f t="shared" si="42"/>
        <v/>
      </c>
      <c r="K509" s="391" t="str">
        <f t="shared" si="43"/>
        <v/>
      </c>
      <c r="O509" s="367" t="str">
        <v/>
      </c>
      <c r="S509" s="1" t="str">
        <v/>
      </c>
      <c r="AC509" s="367" t="str">
        <f t="shared" si="44"/>
        <v/>
      </c>
    </row>
    <row r="510" spans="1:29">
      <c r="A510" s="367" t="str">
        <v/>
      </c>
      <c r="H510" s="391" t="str">
        <f t="shared" si="40"/>
        <v/>
      </c>
      <c r="I510" s="391" t="str">
        <f t="shared" si="41"/>
        <v/>
      </c>
      <c r="J510" s="391" t="str">
        <f t="shared" si="42"/>
        <v/>
      </c>
      <c r="K510" s="391" t="str">
        <f t="shared" si="43"/>
        <v/>
      </c>
      <c r="O510" s="367" t="str">
        <v/>
      </c>
      <c r="S510" s="1" t="str">
        <v/>
      </c>
      <c r="AC510" s="367" t="str">
        <f t="shared" si="44"/>
        <v/>
      </c>
    </row>
    <row r="511" spans="1:29">
      <c r="A511" s="367" t="str">
        <v/>
      </c>
      <c r="H511" s="391" t="str">
        <f t="shared" si="40"/>
        <v/>
      </c>
      <c r="I511" s="391" t="str">
        <f t="shared" si="41"/>
        <v/>
      </c>
      <c r="J511" s="391" t="str">
        <f t="shared" si="42"/>
        <v/>
      </c>
      <c r="K511" s="391" t="str">
        <f t="shared" si="43"/>
        <v/>
      </c>
      <c r="O511" s="367" t="str">
        <v/>
      </c>
      <c r="S511" s="1" t="str">
        <v/>
      </c>
      <c r="AC511" s="367" t="str">
        <f t="shared" si="44"/>
        <v/>
      </c>
    </row>
    <row r="512" spans="1:29">
      <c r="A512" s="367" t="str">
        <v/>
      </c>
      <c r="H512" s="391" t="str">
        <f t="shared" si="40"/>
        <v/>
      </c>
      <c r="I512" s="391" t="str">
        <f t="shared" si="41"/>
        <v/>
      </c>
      <c r="J512" s="391" t="str">
        <f t="shared" si="42"/>
        <v/>
      </c>
      <c r="K512" s="391" t="str">
        <f t="shared" si="43"/>
        <v/>
      </c>
      <c r="O512" s="367" t="str">
        <v/>
      </c>
      <c r="S512" s="1" t="str">
        <v/>
      </c>
      <c r="AC512" s="367" t="str">
        <f t="shared" si="44"/>
        <v/>
      </c>
    </row>
    <row r="513" spans="1:29">
      <c r="A513" s="367" t="str">
        <v/>
      </c>
      <c r="H513" s="391" t="str">
        <f t="shared" si="40"/>
        <v/>
      </c>
      <c r="I513" s="391" t="str">
        <f t="shared" si="41"/>
        <v/>
      </c>
      <c r="J513" s="391" t="str">
        <f t="shared" si="42"/>
        <v/>
      </c>
      <c r="K513" s="391" t="str">
        <f t="shared" si="43"/>
        <v/>
      </c>
      <c r="O513" s="367" t="str">
        <v/>
      </c>
      <c r="S513" s="1" t="str">
        <v/>
      </c>
      <c r="AC513" s="367" t="str">
        <f t="shared" si="44"/>
        <v/>
      </c>
    </row>
    <row r="514" spans="1:29">
      <c r="A514" s="367" t="str">
        <v/>
      </c>
      <c r="H514" s="391" t="str">
        <f t="shared" si="40"/>
        <v/>
      </c>
      <c r="I514" s="391" t="str">
        <f t="shared" si="41"/>
        <v/>
      </c>
      <c r="J514" s="391" t="str">
        <f t="shared" si="42"/>
        <v/>
      </c>
      <c r="K514" s="391" t="str">
        <f t="shared" si="43"/>
        <v/>
      </c>
      <c r="O514" s="367" t="str">
        <v/>
      </c>
      <c r="S514" s="1" t="str">
        <v/>
      </c>
      <c r="AC514" s="367" t="str">
        <f t="shared" si="44"/>
        <v/>
      </c>
    </row>
    <row r="515" spans="1:29">
      <c r="A515" s="367" t="str">
        <v/>
      </c>
      <c r="H515" s="391" t="str">
        <f t="shared" si="40"/>
        <v/>
      </c>
      <c r="I515" s="391" t="str">
        <f t="shared" si="41"/>
        <v/>
      </c>
      <c r="J515" s="391" t="str">
        <f t="shared" si="42"/>
        <v/>
      </c>
      <c r="K515" s="391" t="str">
        <f t="shared" si="43"/>
        <v/>
      </c>
      <c r="O515" s="367" t="str">
        <v/>
      </c>
      <c r="S515" s="1" t="str">
        <v/>
      </c>
      <c r="AC515" s="367" t="str">
        <f t="shared" si="44"/>
        <v/>
      </c>
    </row>
    <row r="516" spans="1:29">
      <c r="A516" s="367" t="str">
        <v/>
      </c>
      <c r="H516" s="391" t="str">
        <f t="shared" si="40"/>
        <v/>
      </c>
      <c r="I516" s="391" t="str">
        <f t="shared" si="41"/>
        <v/>
      </c>
      <c r="J516" s="391" t="str">
        <f t="shared" si="42"/>
        <v/>
      </c>
      <c r="K516" s="391" t="str">
        <f t="shared" si="43"/>
        <v/>
      </c>
      <c r="O516" s="367" t="str">
        <v/>
      </c>
      <c r="S516" s="1" t="str">
        <v/>
      </c>
      <c r="AC516" s="367" t="str">
        <f t="shared" si="44"/>
        <v/>
      </c>
    </row>
    <row r="517" spans="1:29">
      <c r="A517" s="367" t="str">
        <v/>
      </c>
      <c r="H517" s="391" t="str">
        <f t="shared" si="40"/>
        <v/>
      </c>
      <c r="I517" s="391" t="str">
        <f t="shared" si="41"/>
        <v/>
      </c>
      <c r="J517" s="391" t="str">
        <f t="shared" si="42"/>
        <v/>
      </c>
      <c r="K517" s="391" t="str">
        <f t="shared" si="43"/>
        <v/>
      </c>
      <c r="O517" s="367" t="str">
        <v/>
      </c>
      <c r="S517" s="1" t="str">
        <v/>
      </c>
      <c r="AC517" s="367" t="str">
        <f t="shared" si="44"/>
        <v/>
      </c>
    </row>
    <row r="518" spans="1:29">
      <c r="A518" s="367" t="str">
        <v/>
      </c>
      <c r="H518" s="391" t="str">
        <f t="shared" si="40"/>
        <v/>
      </c>
      <c r="I518" s="391" t="str">
        <f t="shared" si="41"/>
        <v/>
      </c>
      <c r="J518" s="391" t="str">
        <f t="shared" si="42"/>
        <v/>
      </c>
      <c r="K518" s="391" t="str">
        <f t="shared" si="43"/>
        <v/>
      </c>
      <c r="O518" s="367" t="str">
        <v/>
      </c>
      <c r="S518" s="1" t="str">
        <v/>
      </c>
      <c r="AC518" s="367" t="str">
        <f t="shared" si="44"/>
        <v/>
      </c>
    </row>
    <row r="519" spans="1:29">
      <c r="A519" s="367" t="str">
        <v/>
      </c>
      <c r="H519" s="391" t="str">
        <f t="shared" si="40"/>
        <v/>
      </c>
      <c r="I519" s="391" t="str">
        <f t="shared" si="41"/>
        <v/>
      </c>
      <c r="J519" s="391" t="str">
        <f t="shared" si="42"/>
        <v/>
      </c>
      <c r="K519" s="391" t="str">
        <f t="shared" si="43"/>
        <v/>
      </c>
      <c r="O519" s="367" t="str">
        <v/>
      </c>
      <c r="S519" s="1" t="str">
        <v/>
      </c>
      <c r="AC519" s="367" t="str">
        <f t="shared" si="44"/>
        <v/>
      </c>
    </row>
    <row r="520" spans="1:29">
      <c r="A520" s="367" t="str">
        <v/>
      </c>
      <c r="H520" s="391" t="str">
        <f t="shared" si="40"/>
        <v/>
      </c>
      <c r="I520" s="391" t="str">
        <f t="shared" si="41"/>
        <v/>
      </c>
      <c r="J520" s="391" t="str">
        <f t="shared" si="42"/>
        <v/>
      </c>
      <c r="K520" s="391" t="str">
        <f t="shared" si="43"/>
        <v/>
      </c>
      <c r="O520" s="367" t="str">
        <v/>
      </c>
      <c r="S520" s="1" t="str">
        <v/>
      </c>
      <c r="AC520" s="367" t="str">
        <f t="shared" si="44"/>
        <v/>
      </c>
    </row>
    <row r="521" spans="1:29">
      <c r="A521" s="367" t="str">
        <v/>
      </c>
      <c r="H521" s="391" t="str">
        <f t="shared" si="40"/>
        <v/>
      </c>
      <c r="I521" s="391" t="str">
        <f t="shared" si="41"/>
        <v/>
      </c>
      <c r="J521" s="391" t="str">
        <f t="shared" si="42"/>
        <v/>
      </c>
      <c r="K521" s="391" t="str">
        <f t="shared" si="43"/>
        <v/>
      </c>
      <c r="O521" s="367" t="str">
        <v/>
      </c>
      <c r="S521" s="1" t="str">
        <v/>
      </c>
      <c r="AC521" s="367" t="str">
        <f t="shared" si="44"/>
        <v/>
      </c>
    </row>
    <row r="522" spans="1:29">
      <c r="A522" s="367" t="str">
        <v/>
      </c>
      <c r="H522" s="391" t="str">
        <f t="shared" si="40"/>
        <v/>
      </c>
      <c r="I522" s="391" t="str">
        <f t="shared" si="41"/>
        <v/>
      </c>
      <c r="J522" s="391" t="str">
        <f t="shared" si="42"/>
        <v/>
      </c>
      <c r="K522" s="391" t="str">
        <f t="shared" si="43"/>
        <v/>
      </c>
      <c r="O522" s="367" t="str">
        <v/>
      </c>
      <c r="S522" s="1" t="str">
        <v/>
      </c>
      <c r="AC522" s="367" t="str">
        <f t="shared" si="44"/>
        <v/>
      </c>
    </row>
    <row r="523" spans="1:29">
      <c r="A523" s="367" t="str">
        <v/>
      </c>
      <c r="H523" s="391" t="str">
        <f t="shared" si="40"/>
        <v/>
      </c>
      <c r="I523" s="391" t="str">
        <f t="shared" si="41"/>
        <v/>
      </c>
      <c r="J523" s="391" t="str">
        <f t="shared" si="42"/>
        <v/>
      </c>
      <c r="K523" s="391" t="str">
        <f t="shared" si="43"/>
        <v/>
      </c>
      <c r="O523" s="367" t="str">
        <v/>
      </c>
      <c r="S523" s="1" t="str">
        <v/>
      </c>
      <c r="AC523" s="367" t="str">
        <f t="shared" si="44"/>
        <v/>
      </c>
    </row>
    <row r="524" spans="1:29">
      <c r="A524" s="367" t="str">
        <v/>
      </c>
      <c r="H524" s="391" t="str">
        <f t="shared" si="40"/>
        <v/>
      </c>
      <c r="I524" s="391" t="str">
        <f t="shared" si="41"/>
        <v/>
      </c>
      <c r="J524" s="391" t="str">
        <f t="shared" si="42"/>
        <v/>
      </c>
      <c r="K524" s="391" t="str">
        <f t="shared" si="43"/>
        <v/>
      </c>
      <c r="O524" s="367" t="str">
        <v/>
      </c>
      <c r="S524" s="1" t="str">
        <v/>
      </c>
      <c r="AC524" s="367" t="str">
        <f t="shared" si="44"/>
        <v/>
      </c>
    </row>
    <row r="525" spans="1:29">
      <c r="A525" s="367" t="str">
        <v/>
      </c>
      <c r="H525" s="391" t="str">
        <f t="shared" si="40"/>
        <v/>
      </c>
      <c r="I525" s="391" t="str">
        <f t="shared" si="41"/>
        <v/>
      </c>
      <c r="J525" s="391" t="str">
        <f t="shared" si="42"/>
        <v/>
      </c>
      <c r="K525" s="391" t="str">
        <f t="shared" si="43"/>
        <v/>
      </c>
      <c r="O525" s="367" t="str">
        <v/>
      </c>
      <c r="S525" s="1" t="str">
        <v/>
      </c>
      <c r="AC525" s="367" t="str">
        <f t="shared" si="44"/>
        <v/>
      </c>
    </row>
    <row r="526" spans="1:29">
      <c r="A526" s="367" t="str">
        <v/>
      </c>
      <c r="H526" s="391" t="str">
        <f t="shared" si="40"/>
        <v/>
      </c>
      <c r="I526" s="391" t="str">
        <f t="shared" si="41"/>
        <v/>
      </c>
      <c r="J526" s="391" t="str">
        <f t="shared" si="42"/>
        <v/>
      </c>
      <c r="K526" s="391" t="str">
        <f t="shared" si="43"/>
        <v/>
      </c>
      <c r="O526" s="367" t="str">
        <v/>
      </c>
      <c r="S526" s="1" t="str">
        <v/>
      </c>
      <c r="AC526" s="367" t="str">
        <f t="shared" si="44"/>
        <v/>
      </c>
    </row>
    <row r="527" spans="1:29">
      <c r="A527" s="367" t="str">
        <v/>
      </c>
      <c r="H527" s="391" t="str">
        <f t="shared" si="40"/>
        <v/>
      </c>
      <c r="I527" s="391" t="str">
        <f t="shared" si="41"/>
        <v/>
      </c>
      <c r="J527" s="391" t="str">
        <f t="shared" si="42"/>
        <v/>
      </c>
      <c r="K527" s="391" t="str">
        <f t="shared" si="43"/>
        <v/>
      </c>
      <c r="O527" s="367" t="str">
        <v/>
      </c>
      <c r="S527" s="1" t="str">
        <v/>
      </c>
      <c r="AC527" s="367" t="str">
        <f t="shared" si="44"/>
        <v/>
      </c>
    </row>
    <row r="528" spans="1:29">
      <c r="A528" s="367" t="str">
        <v/>
      </c>
      <c r="H528" s="391" t="str">
        <f t="shared" si="40"/>
        <v/>
      </c>
      <c r="I528" s="391" t="str">
        <f t="shared" si="41"/>
        <v/>
      </c>
      <c r="J528" s="391" t="str">
        <f t="shared" si="42"/>
        <v/>
      </c>
      <c r="K528" s="391" t="str">
        <f t="shared" si="43"/>
        <v/>
      </c>
      <c r="O528" s="367" t="str">
        <v/>
      </c>
      <c r="S528" s="1" t="str">
        <v/>
      </c>
      <c r="AC528" s="367" t="str">
        <f t="shared" si="44"/>
        <v/>
      </c>
    </row>
    <row r="529" spans="1:29">
      <c r="A529" s="367" t="str">
        <v/>
      </c>
      <c r="H529" s="391" t="str">
        <f t="shared" si="40"/>
        <v/>
      </c>
      <c r="I529" s="391" t="str">
        <f t="shared" si="41"/>
        <v/>
      </c>
      <c r="J529" s="391" t="str">
        <f t="shared" si="42"/>
        <v/>
      </c>
      <c r="K529" s="391" t="str">
        <f t="shared" si="43"/>
        <v/>
      </c>
      <c r="O529" s="367" t="str">
        <v/>
      </c>
      <c r="S529" s="1" t="str">
        <v/>
      </c>
      <c r="AC529" s="367" t="str">
        <f t="shared" si="44"/>
        <v/>
      </c>
    </row>
    <row r="530" spans="1:29">
      <c r="A530" s="367" t="str">
        <v/>
      </c>
      <c r="H530" s="391" t="str">
        <f t="shared" si="40"/>
        <v/>
      </c>
      <c r="I530" s="391" t="str">
        <f t="shared" si="41"/>
        <v/>
      </c>
      <c r="J530" s="391" t="str">
        <f t="shared" si="42"/>
        <v/>
      </c>
      <c r="K530" s="391" t="str">
        <f t="shared" si="43"/>
        <v/>
      </c>
      <c r="O530" s="367" t="str">
        <v/>
      </c>
      <c r="S530" s="1" t="str">
        <v/>
      </c>
      <c r="AC530" s="367" t="str">
        <f t="shared" si="44"/>
        <v/>
      </c>
    </row>
    <row r="531" spans="1:29">
      <c r="A531" s="367" t="str">
        <v/>
      </c>
      <c r="H531" s="391" t="str">
        <f t="shared" si="40"/>
        <v/>
      </c>
      <c r="I531" s="391" t="str">
        <f t="shared" si="41"/>
        <v/>
      </c>
      <c r="J531" s="391" t="str">
        <f t="shared" si="42"/>
        <v/>
      </c>
      <c r="K531" s="391" t="str">
        <f t="shared" si="43"/>
        <v/>
      </c>
      <c r="O531" s="367" t="str">
        <v/>
      </c>
      <c r="S531" s="1" t="str">
        <v/>
      </c>
      <c r="AC531" s="367" t="str">
        <f t="shared" si="44"/>
        <v/>
      </c>
    </row>
    <row r="532" spans="1:29">
      <c r="A532" s="367" t="str">
        <v/>
      </c>
      <c r="H532" s="391" t="str">
        <f t="shared" si="40"/>
        <v/>
      </c>
      <c r="I532" s="391" t="str">
        <f t="shared" si="41"/>
        <v/>
      </c>
      <c r="J532" s="391" t="str">
        <f t="shared" si="42"/>
        <v/>
      </c>
      <c r="K532" s="391" t="str">
        <f t="shared" si="43"/>
        <v/>
      </c>
      <c r="O532" s="367" t="str">
        <v/>
      </c>
      <c r="S532" s="1" t="str">
        <v/>
      </c>
      <c r="AC532" s="367" t="str">
        <f t="shared" si="44"/>
        <v/>
      </c>
    </row>
    <row r="533" spans="1:29">
      <c r="A533" s="367" t="str">
        <v/>
      </c>
      <c r="H533" s="391" t="str">
        <f t="shared" si="40"/>
        <v/>
      </c>
      <c r="I533" s="391" t="str">
        <f t="shared" si="41"/>
        <v/>
      </c>
      <c r="J533" s="391" t="str">
        <f t="shared" si="42"/>
        <v/>
      </c>
      <c r="K533" s="391" t="str">
        <f t="shared" si="43"/>
        <v/>
      </c>
      <c r="O533" s="367" t="str">
        <v/>
      </c>
      <c r="S533" s="1" t="str">
        <v/>
      </c>
      <c r="AC533" s="367" t="str">
        <f t="shared" si="44"/>
        <v/>
      </c>
    </row>
    <row r="534" spans="1:29">
      <c r="A534" s="367" t="str">
        <v/>
      </c>
      <c r="H534" s="391" t="str">
        <f t="shared" si="40"/>
        <v/>
      </c>
      <c r="I534" s="391" t="str">
        <f t="shared" si="41"/>
        <v/>
      </c>
      <c r="J534" s="391" t="str">
        <f t="shared" si="42"/>
        <v/>
      </c>
      <c r="K534" s="391" t="str">
        <f t="shared" si="43"/>
        <v/>
      </c>
      <c r="O534" s="367" t="str">
        <v/>
      </c>
      <c r="S534" s="1" t="str">
        <v/>
      </c>
      <c r="AC534" s="367" t="str">
        <f t="shared" si="44"/>
        <v/>
      </c>
    </row>
    <row r="535" spans="1:29">
      <c r="A535" s="367" t="str">
        <v/>
      </c>
      <c r="H535" s="391" t="str">
        <f t="shared" ref="H535:H598" si="45">IF($C535="","",ROUND((($B$2*$F535*($B$5/1000))/$B$6)*(1+IF($B$18="",0,$B$18)),2))</f>
        <v/>
      </c>
      <c r="I535" s="391" t="str">
        <f t="shared" ref="I535:I598" si="46">IF($C535="","",ROUND((($B$3*$F535*($B$5/1000))/$B$6)*(1+IF($B$18="",0,$B$18)),2))</f>
        <v/>
      </c>
      <c r="J535" s="391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1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7" t="str">
        <v/>
      </c>
      <c r="S535" s="1" t="str">
        <v/>
      </c>
      <c r="AC535" s="367" t="str">
        <f t="shared" si="44"/>
        <v/>
      </c>
    </row>
    <row r="536" spans="1:29">
      <c r="A536" s="367" t="str">
        <v/>
      </c>
      <c r="H536" s="391" t="str">
        <f t="shared" si="45"/>
        <v/>
      </c>
      <c r="I536" s="391" t="str">
        <f t="shared" si="46"/>
        <v/>
      </c>
      <c r="J536" s="391" t="str">
        <f t="shared" si="47"/>
        <v/>
      </c>
      <c r="K536" s="391" t="str">
        <f t="shared" si="48"/>
        <v/>
      </c>
      <c r="O536" s="367" t="str">
        <v/>
      </c>
      <c r="S536" s="1" t="str">
        <v/>
      </c>
      <c r="AC536" s="367" t="str">
        <f t="shared" si="44"/>
        <v/>
      </c>
    </row>
    <row r="537" spans="1:29">
      <c r="A537" s="367" t="str">
        <v/>
      </c>
      <c r="H537" s="391" t="str">
        <f t="shared" si="45"/>
        <v/>
      </c>
      <c r="I537" s="391" t="str">
        <f t="shared" si="46"/>
        <v/>
      </c>
      <c r="J537" s="391" t="str">
        <f t="shared" si="47"/>
        <v/>
      </c>
      <c r="K537" s="391" t="str">
        <f t="shared" si="48"/>
        <v/>
      </c>
      <c r="O537" s="367" t="str">
        <v/>
      </c>
      <c r="S537" s="1" t="str">
        <v/>
      </c>
      <c r="AC537" s="367" t="str">
        <f t="shared" si="44"/>
        <v/>
      </c>
    </row>
    <row r="538" spans="1:29">
      <c r="A538" s="367" t="str">
        <v/>
      </c>
      <c r="H538" s="391" t="str">
        <f t="shared" si="45"/>
        <v/>
      </c>
      <c r="I538" s="391" t="str">
        <f t="shared" si="46"/>
        <v/>
      </c>
      <c r="J538" s="391" t="str">
        <f t="shared" si="47"/>
        <v/>
      </c>
      <c r="K538" s="391" t="str">
        <f t="shared" si="48"/>
        <v/>
      </c>
      <c r="O538" s="367" t="str">
        <v/>
      </c>
      <c r="S538" s="1" t="str">
        <v/>
      </c>
      <c r="AC538" s="367" t="str">
        <f t="shared" si="44"/>
        <v/>
      </c>
    </row>
    <row r="539" spans="1:29">
      <c r="A539" s="367" t="str">
        <v/>
      </c>
      <c r="H539" s="391" t="str">
        <f t="shared" si="45"/>
        <v/>
      </c>
      <c r="I539" s="391" t="str">
        <f t="shared" si="46"/>
        <v/>
      </c>
      <c r="J539" s="391" t="str">
        <f t="shared" si="47"/>
        <v/>
      </c>
      <c r="K539" s="391" t="str">
        <f t="shared" si="48"/>
        <v/>
      </c>
      <c r="O539" s="367" t="str">
        <v/>
      </c>
      <c r="S539" s="1" t="str">
        <v/>
      </c>
      <c r="AC539" s="367" t="str">
        <f t="shared" si="44"/>
        <v/>
      </c>
    </row>
    <row r="540" spans="1:29">
      <c r="A540" s="367" t="str">
        <v/>
      </c>
      <c r="H540" s="391" t="str">
        <f t="shared" si="45"/>
        <v/>
      </c>
      <c r="I540" s="391" t="str">
        <f t="shared" si="46"/>
        <v/>
      </c>
      <c r="J540" s="391" t="str">
        <f t="shared" si="47"/>
        <v/>
      </c>
      <c r="K540" s="391" t="str">
        <f t="shared" si="48"/>
        <v/>
      </c>
      <c r="O540" s="367" t="str">
        <v/>
      </c>
      <c r="S540" s="1" t="str">
        <v/>
      </c>
      <c r="AC540" s="367" t="str">
        <f t="shared" si="44"/>
        <v/>
      </c>
    </row>
    <row r="541" spans="1:29">
      <c r="A541" s="367" t="str">
        <v/>
      </c>
      <c r="H541" s="391" t="str">
        <f t="shared" si="45"/>
        <v/>
      </c>
      <c r="I541" s="391" t="str">
        <f t="shared" si="46"/>
        <v/>
      </c>
      <c r="J541" s="391" t="str">
        <f t="shared" si="47"/>
        <v/>
      </c>
      <c r="K541" s="391" t="str">
        <f t="shared" si="48"/>
        <v/>
      </c>
      <c r="O541" s="367" t="str">
        <v/>
      </c>
      <c r="S541" s="1" t="str">
        <v/>
      </c>
      <c r="AC541" s="367" t="str">
        <f t="shared" si="44"/>
        <v/>
      </c>
    </row>
    <row r="542" spans="1:29">
      <c r="A542" s="367" t="str">
        <v/>
      </c>
      <c r="H542" s="391" t="str">
        <f t="shared" si="45"/>
        <v/>
      </c>
      <c r="I542" s="391" t="str">
        <f t="shared" si="46"/>
        <v/>
      </c>
      <c r="J542" s="391" t="str">
        <f t="shared" si="47"/>
        <v/>
      </c>
      <c r="K542" s="391" t="str">
        <f t="shared" si="48"/>
        <v/>
      </c>
      <c r="O542" s="367" t="str">
        <v/>
      </c>
      <c r="S542" s="1" t="str">
        <v/>
      </c>
      <c r="AC542" s="367" t="str">
        <f t="shared" si="44"/>
        <v/>
      </c>
    </row>
    <row r="543" spans="1:29">
      <c r="A543" s="367" t="str">
        <v/>
      </c>
      <c r="H543" s="391" t="str">
        <f t="shared" si="45"/>
        <v/>
      </c>
      <c r="I543" s="391" t="str">
        <f t="shared" si="46"/>
        <v/>
      </c>
      <c r="J543" s="391" t="str">
        <f t="shared" si="47"/>
        <v/>
      </c>
      <c r="K543" s="391" t="str">
        <f t="shared" si="48"/>
        <v/>
      </c>
      <c r="O543" s="367" t="str">
        <v/>
      </c>
      <c r="S543" s="1" t="str">
        <v/>
      </c>
      <c r="AC543" s="367" t="str">
        <f t="shared" si="44"/>
        <v/>
      </c>
    </row>
    <row r="544" spans="1:29">
      <c r="A544" s="367" t="str">
        <v/>
      </c>
      <c r="H544" s="391" t="str">
        <f t="shared" si="45"/>
        <v/>
      </c>
      <c r="I544" s="391" t="str">
        <f t="shared" si="46"/>
        <v/>
      </c>
      <c r="J544" s="391" t="str">
        <f t="shared" si="47"/>
        <v/>
      </c>
      <c r="K544" s="391" t="str">
        <f t="shared" si="48"/>
        <v/>
      </c>
      <c r="O544" s="367" t="str">
        <v/>
      </c>
      <c r="S544" s="1" t="str">
        <v/>
      </c>
      <c r="AC544" s="367" t="str">
        <f t="shared" si="44"/>
        <v/>
      </c>
    </row>
    <row r="545" spans="1:29">
      <c r="A545" s="367" t="str">
        <v/>
      </c>
      <c r="H545" s="391" t="str">
        <f t="shared" si="45"/>
        <v/>
      </c>
      <c r="I545" s="391" t="str">
        <f t="shared" si="46"/>
        <v/>
      </c>
      <c r="J545" s="391" t="str">
        <f t="shared" si="47"/>
        <v/>
      </c>
      <c r="K545" s="391" t="str">
        <f t="shared" si="48"/>
        <v/>
      </c>
      <c r="O545" s="367" t="str">
        <v/>
      </c>
      <c r="S545" s="1" t="str">
        <v/>
      </c>
      <c r="AC545" s="367" t="str">
        <f t="shared" si="44"/>
        <v/>
      </c>
    </row>
    <row r="546" spans="1:29">
      <c r="A546" s="367" t="str">
        <v/>
      </c>
      <c r="H546" s="391" t="str">
        <f t="shared" si="45"/>
        <v/>
      </c>
      <c r="I546" s="391" t="str">
        <f t="shared" si="46"/>
        <v/>
      </c>
      <c r="J546" s="391" t="str">
        <f t="shared" si="47"/>
        <v/>
      </c>
      <c r="K546" s="391" t="str">
        <f t="shared" si="48"/>
        <v/>
      </c>
      <c r="O546" s="367" t="str">
        <v/>
      </c>
      <c r="S546" s="1" t="str">
        <v/>
      </c>
      <c r="AC546" s="367" t="str">
        <f t="shared" si="44"/>
        <v/>
      </c>
    </row>
    <row r="547" spans="1:29">
      <c r="A547" s="367" t="str">
        <v/>
      </c>
      <c r="H547" s="391" t="str">
        <f t="shared" si="45"/>
        <v/>
      </c>
      <c r="I547" s="391" t="str">
        <f t="shared" si="46"/>
        <v/>
      </c>
      <c r="J547" s="391" t="str">
        <f t="shared" si="47"/>
        <v/>
      </c>
      <c r="K547" s="391" t="str">
        <f t="shared" si="48"/>
        <v/>
      </c>
      <c r="O547" s="367" t="str">
        <v/>
      </c>
      <c r="S547" s="1" t="str">
        <v/>
      </c>
      <c r="AC547" s="367" t="str">
        <f t="shared" si="44"/>
        <v/>
      </c>
    </row>
    <row r="548" spans="1:29">
      <c r="A548" s="367" t="str">
        <v/>
      </c>
      <c r="H548" s="391" t="str">
        <f t="shared" si="45"/>
        <v/>
      </c>
      <c r="I548" s="391" t="str">
        <f t="shared" si="46"/>
        <v/>
      </c>
      <c r="J548" s="391" t="str">
        <f t="shared" si="47"/>
        <v/>
      </c>
      <c r="K548" s="391" t="str">
        <f t="shared" si="48"/>
        <v/>
      </c>
      <c r="O548" s="367" t="str">
        <v/>
      </c>
      <c r="S548" s="1" t="str">
        <v/>
      </c>
      <c r="AC548" s="367" t="str">
        <f t="shared" si="44"/>
        <v/>
      </c>
    </row>
    <row r="549" spans="1:29">
      <c r="A549" s="367" t="str">
        <v/>
      </c>
      <c r="H549" s="391" t="str">
        <f t="shared" si="45"/>
        <v/>
      </c>
      <c r="I549" s="391" t="str">
        <f t="shared" si="46"/>
        <v/>
      </c>
      <c r="J549" s="391" t="str">
        <f t="shared" si="47"/>
        <v/>
      </c>
      <c r="K549" s="391" t="str">
        <f t="shared" si="48"/>
        <v/>
      </c>
      <c r="O549" s="367" t="str">
        <v/>
      </c>
      <c r="S549" s="1" t="str">
        <v/>
      </c>
      <c r="AC549" s="367" t="str">
        <f t="shared" si="44"/>
        <v/>
      </c>
    </row>
    <row r="550" spans="1:29">
      <c r="A550" s="367" t="str">
        <v/>
      </c>
      <c r="H550" s="391" t="str">
        <f t="shared" si="45"/>
        <v/>
      </c>
      <c r="I550" s="391" t="str">
        <f t="shared" si="46"/>
        <v/>
      </c>
      <c r="J550" s="391" t="str">
        <f t="shared" si="47"/>
        <v/>
      </c>
      <c r="K550" s="391" t="str">
        <f t="shared" si="48"/>
        <v/>
      </c>
      <c r="O550" s="367" t="str">
        <v/>
      </c>
      <c r="S550" s="1" t="str">
        <v/>
      </c>
      <c r="AC550" s="367" t="str">
        <f t="shared" si="44"/>
        <v/>
      </c>
    </row>
    <row r="551" spans="1:29">
      <c r="A551" s="367" t="str">
        <v/>
      </c>
      <c r="H551" s="391" t="str">
        <f t="shared" si="45"/>
        <v/>
      </c>
      <c r="I551" s="391" t="str">
        <f t="shared" si="46"/>
        <v/>
      </c>
      <c r="J551" s="391" t="str">
        <f t="shared" si="47"/>
        <v/>
      </c>
      <c r="K551" s="391" t="str">
        <f t="shared" si="48"/>
        <v/>
      </c>
      <c r="O551" s="367" t="str">
        <v/>
      </c>
      <c r="S551" s="1" t="str">
        <v/>
      </c>
      <c r="AC551" s="367" t="str">
        <f t="shared" si="44"/>
        <v/>
      </c>
    </row>
    <row r="552" spans="1:29">
      <c r="A552" s="367" t="str">
        <v/>
      </c>
      <c r="H552" s="391" t="str">
        <f t="shared" si="45"/>
        <v/>
      </c>
      <c r="I552" s="391" t="str">
        <f t="shared" si="46"/>
        <v/>
      </c>
      <c r="J552" s="391" t="str">
        <f t="shared" si="47"/>
        <v/>
      </c>
      <c r="K552" s="391" t="str">
        <f t="shared" si="48"/>
        <v/>
      </c>
      <c r="O552" s="367" t="str">
        <v/>
      </c>
      <c r="S552" s="1" t="str">
        <v/>
      </c>
      <c r="AC552" s="367" t="str">
        <f t="shared" si="44"/>
        <v/>
      </c>
    </row>
    <row r="553" spans="1:29">
      <c r="A553" s="367" t="str">
        <v/>
      </c>
      <c r="H553" s="391" t="str">
        <f t="shared" si="45"/>
        <v/>
      </c>
      <c r="I553" s="391" t="str">
        <f t="shared" si="46"/>
        <v/>
      </c>
      <c r="J553" s="391" t="str">
        <f t="shared" si="47"/>
        <v/>
      </c>
      <c r="K553" s="391" t="str">
        <f t="shared" si="48"/>
        <v/>
      </c>
      <c r="O553" s="367" t="str">
        <v/>
      </c>
      <c r="S553" s="1" t="str">
        <v/>
      </c>
      <c r="AC553" s="367" t="str">
        <f t="shared" si="44"/>
        <v/>
      </c>
    </row>
    <row r="554" spans="1:29">
      <c r="A554" s="367" t="str">
        <v/>
      </c>
      <c r="H554" s="391" t="str">
        <f t="shared" si="45"/>
        <v/>
      </c>
      <c r="I554" s="391" t="str">
        <f t="shared" si="46"/>
        <v/>
      </c>
      <c r="J554" s="391" t="str">
        <f t="shared" si="47"/>
        <v/>
      </c>
      <c r="K554" s="391" t="str">
        <f t="shared" si="48"/>
        <v/>
      </c>
      <c r="O554" s="367" t="str">
        <v/>
      </c>
      <c r="S554" s="1" t="str">
        <v/>
      </c>
      <c r="AC554" s="367" t="str">
        <f t="shared" si="44"/>
        <v/>
      </c>
    </row>
    <row r="555" spans="1:29">
      <c r="A555" s="367" t="str">
        <v/>
      </c>
      <c r="H555" s="391" t="str">
        <f t="shared" si="45"/>
        <v/>
      </c>
      <c r="I555" s="391" t="str">
        <f t="shared" si="46"/>
        <v/>
      </c>
      <c r="J555" s="391" t="str">
        <f t="shared" si="47"/>
        <v/>
      </c>
      <c r="K555" s="391" t="str">
        <f t="shared" si="48"/>
        <v/>
      </c>
      <c r="O555" s="367" t="str">
        <v/>
      </c>
      <c r="S555" s="1" t="str">
        <v/>
      </c>
      <c r="AC555" s="367" t="str">
        <f t="shared" si="44"/>
        <v/>
      </c>
    </row>
    <row r="556" spans="1:29">
      <c r="A556" s="367" t="str">
        <v/>
      </c>
      <c r="H556" s="391" t="str">
        <f t="shared" si="45"/>
        <v/>
      </c>
      <c r="I556" s="391" t="str">
        <f t="shared" si="46"/>
        <v/>
      </c>
      <c r="J556" s="391" t="str">
        <f t="shared" si="47"/>
        <v/>
      </c>
      <c r="K556" s="391" t="str">
        <f t="shared" si="48"/>
        <v/>
      </c>
      <c r="O556" s="367" t="str">
        <v/>
      </c>
      <c r="S556" s="1" t="str">
        <v/>
      </c>
      <c r="AC556" s="367" t="str">
        <f t="shared" si="44"/>
        <v/>
      </c>
    </row>
    <row r="557" spans="1:29">
      <c r="A557" s="367" t="str">
        <v/>
      </c>
      <c r="H557" s="391" t="str">
        <f t="shared" si="45"/>
        <v/>
      </c>
      <c r="I557" s="391" t="str">
        <f t="shared" si="46"/>
        <v/>
      </c>
      <c r="J557" s="391" t="str">
        <f t="shared" si="47"/>
        <v/>
      </c>
      <c r="K557" s="391" t="str">
        <f t="shared" si="48"/>
        <v/>
      </c>
      <c r="O557" s="367" t="str">
        <v/>
      </c>
      <c r="S557" s="1" t="str">
        <v/>
      </c>
      <c r="AC557" s="367" t="str">
        <f t="shared" si="44"/>
        <v/>
      </c>
    </row>
    <row r="558" spans="1:29">
      <c r="A558" s="367" t="str">
        <v/>
      </c>
      <c r="H558" s="391" t="str">
        <f t="shared" si="45"/>
        <v/>
      </c>
      <c r="I558" s="391" t="str">
        <f t="shared" si="46"/>
        <v/>
      </c>
      <c r="J558" s="391" t="str">
        <f t="shared" si="47"/>
        <v/>
      </c>
      <c r="K558" s="391" t="str">
        <f t="shared" si="48"/>
        <v/>
      </c>
      <c r="O558" s="367" t="str">
        <v/>
      </c>
      <c r="S558" s="1" t="str">
        <v/>
      </c>
      <c r="AC558" s="367" t="str">
        <f t="shared" si="44"/>
        <v/>
      </c>
    </row>
    <row r="559" spans="1:29">
      <c r="A559" s="367" t="str">
        <v/>
      </c>
      <c r="H559" s="391" t="str">
        <f t="shared" si="45"/>
        <v/>
      </c>
      <c r="I559" s="391" t="str">
        <f t="shared" si="46"/>
        <v/>
      </c>
      <c r="J559" s="391" t="str">
        <f t="shared" si="47"/>
        <v/>
      </c>
      <c r="K559" s="391" t="str">
        <f t="shared" si="48"/>
        <v/>
      </c>
      <c r="O559" s="367" t="str">
        <v/>
      </c>
      <c r="S559" s="1" t="str">
        <v/>
      </c>
      <c r="AC559" s="367" t="str">
        <f t="shared" si="44"/>
        <v/>
      </c>
    </row>
    <row r="560" spans="1:29">
      <c r="A560" s="367" t="str">
        <v/>
      </c>
      <c r="H560" s="391" t="str">
        <f t="shared" si="45"/>
        <v/>
      </c>
      <c r="I560" s="391" t="str">
        <f t="shared" si="46"/>
        <v/>
      </c>
      <c r="J560" s="391" t="str">
        <f t="shared" si="47"/>
        <v/>
      </c>
      <c r="K560" s="391" t="str">
        <f t="shared" si="48"/>
        <v/>
      </c>
      <c r="O560" s="367" t="str">
        <v/>
      </c>
      <c r="S560" s="1" t="str">
        <v/>
      </c>
      <c r="AC560" s="367" t="str">
        <f t="shared" ref="AC560:AC623" si="49">IF($AB560&lt;&gt;"",$AB560,IFERROR(ROUNDUP($Z560/$Y560,1),""))</f>
        <v/>
      </c>
    </row>
    <row r="561" spans="1:29">
      <c r="A561" s="367" t="str">
        <v/>
      </c>
      <c r="H561" s="391" t="str">
        <f t="shared" si="45"/>
        <v/>
      </c>
      <c r="I561" s="391" t="str">
        <f t="shared" si="46"/>
        <v/>
      </c>
      <c r="J561" s="391" t="str">
        <f t="shared" si="47"/>
        <v/>
      </c>
      <c r="K561" s="391" t="str">
        <f t="shared" si="48"/>
        <v/>
      </c>
      <c r="O561" s="367" t="str">
        <v/>
      </c>
      <c r="S561" s="1" t="str">
        <v/>
      </c>
      <c r="AC561" s="367" t="str">
        <f t="shared" si="49"/>
        <v/>
      </c>
    </row>
    <row r="562" spans="1:29">
      <c r="A562" s="367" t="str">
        <v/>
      </c>
      <c r="H562" s="391" t="str">
        <f t="shared" si="45"/>
        <v/>
      </c>
      <c r="I562" s="391" t="str">
        <f t="shared" si="46"/>
        <v/>
      </c>
      <c r="J562" s="391" t="str">
        <f t="shared" si="47"/>
        <v/>
      </c>
      <c r="K562" s="391" t="str">
        <f t="shared" si="48"/>
        <v/>
      </c>
      <c r="O562" s="367" t="str">
        <v/>
      </c>
      <c r="S562" s="1" t="str">
        <v/>
      </c>
      <c r="AC562" s="367" t="str">
        <f t="shared" si="49"/>
        <v/>
      </c>
    </row>
    <row r="563" spans="1:29">
      <c r="A563" s="367" t="str">
        <v/>
      </c>
      <c r="H563" s="391" t="str">
        <f t="shared" si="45"/>
        <v/>
      </c>
      <c r="I563" s="391" t="str">
        <f t="shared" si="46"/>
        <v/>
      </c>
      <c r="J563" s="391" t="str">
        <f t="shared" si="47"/>
        <v/>
      </c>
      <c r="K563" s="391" t="str">
        <f t="shared" si="48"/>
        <v/>
      </c>
      <c r="O563" s="367" t="str">
        <v/>
      </c>
      <c r="S563" s="1" t="str">
        <v/>
      </c>
      <c r="AC563" s="367" t="str">
        <f t="shared" si="49"/>
        <v/>
      </c>
    </row>
    <row r="564" spans="1:29">
      <c r="A564" s="367" t="str">
        <v/>
      </c>
      <c r="H564" s="391" t="str">
        <f t="shared" si="45"/>
        <v/>
      </c>
      <c r="I564" s="391" t="str">
        <f t="shared" si="46"/>
        <v/>
      </c>
      <c r="J564" s="391" t="str">
        <f t="shared" si="47"/>
        <v/>
      </c>
      <c r="K564" s="391" t="str">
        <f t="shared" si="48"/>
        <v/>
      </c>
      <c r="O564" s="367" t="str">
        <v/>
      </c>
      <c r="S564" s="1" t="str">
        <v/>
      </c>
      <c r="AC564" s="367" t="str">
        <f t="shared" si="49"/>
        <v/>
      </c>
    </row>
    <row r="565" spans="1:29">
      <c r="A565" s="367" t="str">
        <v/>
      </c>
      <c r="H565" s="391" t="str">
        <f t="shared" si="45"/>
        <v/>
      </c>
      <c r="I565" s="391" t="str">
        <f t="shared" si="46"/>
        <v/>
      </c>
      <c r="J565" s="391" t="str">
        <f t="shared" si="47"/>
        <v/>
      </c>
      <c r="K565" s="391" t="str">
        <f t="shared" si="48"/>
        <v/>
      </c>
      <c r="O565" s="367" t="str">
        <v/>
      </c>
      <c r="S565" s="1" t="str">
        <v/>
      </c>
      <c r="AC565" s="367" t="str">
        <f t="shared" si="49"/>
        <v/>
      </c>
    </row>
    <row r="566" spans="1:29">
      <c r="A566" s="367" t="str">
        <v/>
      </c>
      <c r="H566" s="391" t="str">
        <f t="shared" si="45"/>
        <v/>
      </c>
      <c r="I566" s="391" t="str">
        <f t="shared" si="46"/>
        <v/>
      </c>
      <c r="J566" s="391" t="str">
        <f t="shared" si="47"/>
        <v/>
      </c>
      <c r="K566" s="391" t="str">
        <f t="shared" si="48"/>
        <v/>
      </c>
      <c r="O566" s="367" t="str">
        <v/>
      </c>
      <c r="S566" s="1" t="str">
        <v/>
      </c>
      <c r="AC566" s="367" t="str">
        <f t="shared" si="49"/>
        <v/>
      </c>
    </row>
    <row r="567" spans="1:29">
      <c r="A567" s="367" t="str">
        <v/>
      </c>
      <c r="H567" s="391" t="str">
        <f t="shared" si="45"/>
        <v/>
      </c>
      <c r="I567" s="391" t="str">
        <f t="shared" si="46"/>
        <v/>
      </c>
      <c r="J567" s="391" t="str">
        <f t="shared" si="47"/>
        <v/>
      </c>
      <c r="K567" s="391" t="str">
        <f t="shared" si="48"/>
        <v/>
      </c>
      <c r="O567" s="367" t="str">
        <v/>
      </c>
      <c r="S567" s="1" t="str">
        <v/>
      </c>
      <c r="AC567" s="367" t="str">
        <f t="shared" si="49"/>
        <v/>
      </c>
    </row>
    <row r="568" spans="1:29">
      <c r="A568" s="367" t="str">
        <v/>
      </c>
      <c r="H568" s="391" t="str">
        <f t="shared" si="45"/>
        <v/>
      </c>
      <c r="I568" s="391" t="str">
        <f t="shared" si="46"/>
        <v/>
      </c>
      <c r="J568" s="391" t="str">
        <f t="shared" si="47"/>
        <v/>
      </c>
      <c r="K568" s="391" t="str">
        <f t="shared" si="48"/>
        <v/>
      </c>
      <c r="O568" s="367" t="str">
        <v/>
      </c>
      <c r="S568" s="1" t="str">
        <v/>
      </c>
      <c r="AC568" s="367" t="str">
        <f t="shared" si="49"/>
        <v/>
      </c>
    </row>
    <row r="569" spans="1:29">
      <c r="A569" s="367" t="str">
        <v/>
      </c>
      <c r="H569" s="391" t="str">
        <f t="shared" si="45"/>
        <v/>
      </c>
      <c r="I569" s="391" t="str">
        <f t="shared" si="46"/>
        <v/>
      </c>
      <c r="J569" s="391" t="str">
        <f t="shared" si="47"/>
        <v/>
      </c>
      <c r="K569" s="391" t="str">
        <f t="shared" si="48"/>
        <v/>
      </c>
      <c r="O569" s="367" t="str">
        <v/>
      </c>
      <c r="S569" s="1" t="str">
        <v/>
      </c>
      <c r="AC569" s="367" t="str">
        <f t="shared" si="49"/>
        <v/>
      </c>
    </row>
    <row r="570" spans="1:29">
      <c r="A570" s="367" t="str">
        <v/>
      </c>
      <c r="H570" s="391" t="str">
        <f t="shared" si="45"/>
        <v/>
      </c>
      <c r="I570" s="391" t="str">
        <f t="shared" si="46"/>
        <v/>
      </c>
      <c r="J570" s="391" t="str">
        <f t="shared" si="47"/>
        <v/>
      </c>
      <c r="K570" s="391" t="str">
        <f t="shared" si="48"/>
        <v/>
      </c>
      <c r="O570" s="367" t="str">
        <v/>
      </c>
      <c r="S570" s="1" t="str">
        <v/>
      </c>
      <c r="AC570" s="367" t="str">
        <f t="shared" si="49"/>
        <v/>
      </c>
    </row>
    <row r="571" spans="1:29">
      <c r="A571" s="367" t="str">
        <v/>
      </c>
      <c r="H571" s="391" t="str">
        <f t="shared" si="45"/>
        <v/>
      </c>
      <c r="I571" s="391" t="str">
        <f t="shared" si="46"/>
        <v/>
      </c>
      <c r="J571" s="391" t="str">
        <f t="shared" si="47"/>
        <v/>
      </c>
      <c r="K571" s="391" t="str">
        <f t="shared" si="48"/>
        <v/>
      </c>
      <c r="O571" s="367" t="str">
        <v/>
      </c>
      <c r="S571" s="1" t="str">
        <v/>
      </c>
      <c r="AC571" s="367" t="str">
        <f t="shared" si="49"/>
        <v/>
      </c>
    </row>
    <row r="572" spans="1:29">
      <c r="A572" s="367" t="str">
        <v/>
      </c>
      <c r="H572" s="391" t="str">
        <f t="shared" si="45"/>
        <v/>
      </c>
      <c r="I572" s="391" t="str">
        <f t="shared" si="46"/>
        <v/>
      </c>
      <c r="J572" s="391" t="str">
        <f t="shared" si="47"/>
        <v/>
      </c>
      <c r="K572" s="391" t="str">
        <f t="shared" si="48"/>
        <v/>
      </c>
      <c r="O572" s="367" t="str">
        <v/>
      </c>
      <c r="S572" s="1" t="str">
        <v/>
      </c>
      <c r="AC572" s="367" t="str">
        <f t="shared" si="49"/>
        <v/>
      </c>
    </row>
    <row r="573" spans="1:29">
      <c r="A573" s="367" t="str">
        <v/>
      </c>
      <c r="H573" s="391" t="str">
        <f t="shared" si="45"/>
        <v/>
      </c>
      <c r="I573" s="391" t="str">
        <f t="shared" si="46"/>
        <v/>
      </c>
      <c r="J573" s="391" t="str">
        <f t="shared" si="47"/>
        <v/>
      </c>
      <c r="K573" s="391" t="str">
        <f t="shared" si="48"/>
        <v/>
      </c>
      <c r="O573" s="367" t="str">
        <v/>
      </c>
      <c r="S573" s="1" t="str">
        <v/>
      </c>
      <c r="AC573" s="367" t="str">
        <f t="shared" si="49"/>
        <v/>
      </c>
    </row>
    <row r="574" spans="1:29">
      <c r="A574" s="367" t="str">
        <v/>
      </c>
      <c r="H574" s="391" t="str">
        <f t="shared" si="45"/>
        <v/>
      </c>
      <c r="I574" s="391" t="str">
        <f t="shared" si="46"/>
        <v/>
      </c>
      <c r="J574" s="391" t="str">
        <f t="shared" si="47"/>
        <v/>
      </c>
      <c r="K574" s="391" t="str">
        <f t="shared" si="48"/>
        <v/>
      </c>
      <c r="O574" s="367" t="str">
        <v/>
      </c>
      <c r="S574" s="1" t="str">
        <v/>
      </c>
      <c r="AC574" s="367" t="str">
        <f t="shared" si="49"/>
        <v/>
      </c>
    </row>
    <row r="575" spans="1:29">
      <c r="A575" s="367" t="str">
        <v/>
      </c>
      <c r="H575" s="391" t="str">
        <f t="shared" si="45"/>
        <v/>
      </c>
      <c r="I575" s="391" t="str">
        <f t="shared" si="46"/>
        <v/>
      </c>
      <c r="J575" s="391" t="str">
        <f t="shared" si="47"/>
        <v/>
      </c>
      <c r="K575" s="391" t="str">
        <f t="shared" si="48"/>
        <v/>
      </c>
      <c r="O575" s="367" t="str">
        <v/>
      </c>
      <c r="S575" s="1" t="str">
        <v/>
      </c>
      <c r="AC575" s="367" t="str">
        <f t="shared" si="49"/>
        <v/>
      </c>
    </row>
    <row r="576" spans="1:29">
      <c r="A576" s="367" t="str">
        <v/>
      </c>
      <c r="H576" s="391" t="str">
        <f t="shared" si="45"/>
        <v/>
      </c>
      <c r="I576" s="391" t="str">
        <f t="shared" si="46"/>
        <v/>
      </c>
      <c r="J576" s="391" t="str">
        <f t="shared" si="47"/>
        <v/>
      </c>
      <c r="K576" s="391" t="str">
        <f t="shared" si="48"/>
        <v/>
      </c>
      <c r="O576" s="367" t="str">
        <v/>
      </c>
      <c r="S576" s="1" t="str">
        <v/>
      </c>
      <c r="AC576" s="367" t="str">
        <f t="shared" si="49"/>
        <v/>
      </c>
    </row>
    <row r="577" spans="1:29">
      <c r="A577" s="367" t="str">
        <v/>
      </c>
      <c r="H577" s="391" t="str">
        <f t="shared" si="45"/>
        <v/>
      </c>
      <c r="I577" s="391" t="str">
        <f t="shared" si="46"/>
        <v/>
      </c>
      <c r="J577" s="391" t="str">
        <f t="shared" si="47"/>
        <v/>
      </c>
      <c r="K577" s="391" t="str">
        <f t="shared" si="48"/>
        <v/>
      </c>
      <c r="O577" s="367" t="str">
        <v/>
      </c>
      <c r="S577" s="1" t="str">
        <v/>
      </c>
      <c r="AC577" s="367" t="str">
        <f t="shared" si="49"/>
        <v/>
      </c>
    </row>
    <row r="578" spans="1:29">
      <c r="A578" s="367" t="str">
        <v/>
      </c>
      <c r="H578" s="391" t="str">
        <f t="shared" si="45"/>
        <v/>
      </c>
      <c r="I578" s="391" t="str">
        <f t="shared" si="46"/>
        <v/>
      </c>
      <c r="J578" s="391" t="str">
        <f t="shared" si="47"/>
        <v/>
      </c>
      <c r="K578" s="391" t="str">
        <f t="shared" si="48"/>
        <v/>
      </c>
      <c r="O578" s="367" t="str">
        <v/>
      </c>
      <c r="S578" s="1" t="str">
        <v/>
      </c>
      <c r="AC578" s="367" t="str">
        <f t="shared" si="49"/>
        <v/>
      </c>
    </row>
    <row r="579" spans="1:29">
      <c r="A579" s="367" t="str">
        <v/>
      </c>
      <c r="H579" s="391" t="str">
        <f t="shared" si="45"/>
        <v/>
      </c>
      <c r="I579" s="391" t="str">
        <f t="shared" si="46"/>
        <v/>
      </c>
      <c r="J579" s="391" t="str">
        <f t="shared" si="47"/>
        <v/>
      </c>
      <c r="K579" s="391" t="str">
        <f t="shared" si="48"/>
        <v/>
      </c>
      <c r="O579" s="367" t="str">
        <v/>
      </c>
      <c r="S579" s="1" t="str">
        <v/>
      </c>
      <c r="AC579" s="367" t="str">
        <f t="shared" si="49"/>
        <v/>
      </c>
    </row>
    <row r="580" spans="1:29">
      <c r="A580" s="367" t="str">
        <v/>
      </c>
      <c r="H580" s="391" t="str">
        <f t="shared" si="45"/>
        <v/>
      </c>
      <c r="I580" s="391" t="str">
        <f t="shared" si="46"/>
        <v/>
      </c>
      <c r="J580" s="391" t="str">
        <f t="shared" si="47"/>
        <v/>
      </c>
      <c r="K580" s="391" t="str">
        <f t="shared" si="48"/>
        <v/>
      </c>
      <c r="O580" s="367" t="str">
        <v/>
      </c>
      <c r="S580" s="1" t="str">
        <v/>
      </c>
      <c r="AC580" s="367" t="str">
        <f t="shared" si="49"/>
        <v/>
      </c>
    </row>
    <row r="581" spans="1:29">
      <c r="A581" s="367" t="str">
        <v/>
      </c>
      <c r="H581" s="391" t="str">
        <f t="shared" si="45"/>
        <v/>
      </c>
      <c r="I581" s="391" t="str">
        <f t="shared" si="46"/>
        <v/>
      </c>
      <c r="J581" s="391" t="str">
        <f t="shared" si="47"/>
        <v/>
      </c>
      <c r="K581" s="391" t="str">
        <f t="shared" si="48"/>
        <v/>
      </c>
      <c r="O581" s="367" t="str">
        <v/>
      </c>
      <c r="S581" s="1" t="str">
        <v/>
      </c>
      <c r="AC581" s="367" t="str">
        <f t="shared" si="49"/>
        <v/>
      </c>
    </row>
    <row r="582" spans="1:29">
      <c r="A582" s="367" t="str">
        <v/>
      </c>
      <c r="H582" s="391" t="str">
        <f t="shared" si="45"/>
        <v/>
      </c>
      <c r="I582" s="391" t="str">
        <f t="shared" si="46"/>
        <v/>
      </c>
      <c r="J582" s="391" t="str">
        <f t="shared" si="47"/>
        <v/>
      </c>
      <c r="K582" s="391" t="str">
        <f t="shared" si="48"/>
        <v/>
      </c>
      <c r="O582" s="367" t="str">
        <v/>
      </c>
      <c r="S582" s="1" t="str">
        <v/>
      </c>
      <c r="AC582" s="367" t="str">
        <f t="shared" si="49"/>
        <v/>
      </c>
    </row>
    <row r="583" spans="1:29">
      <c r="A583" s="367" t="str">
        <v/>
      </c>
      <c r="H583" s="391" t="str">
        <f t="shared" si="45"/>
        <v/>
      </c>
      <c r="I583" s="391" t="str">
        <f t="shared" si="46"/>
        <v/>
      </c>
      <c r="J583" s="391" t="str">
        <f t="shared" si="47"/>
        <v/>
      </c>
      <c r="K583" s="391" t="str">
        <f t="shared" si="48"/>
        <v/>
      </c>
      <c r="O583" s="367" t="str">
        <v/>
      </c>
      <c r="S583" s="1" t="str">
        <v/>
      </c>
      <c r="AC583" s="367" t="str">
        <f t="shared" si="49"/>
        <v/>
      </c>
    </row>
    <row r="584" spans="1:29">
      <c r="A584" s="367" t="str">
        <v/>
      </c>
      <c r="H584" s="391" t="str">
        <f t="shared" si="45"/>
        <v/>
      </c>
      <c r="I584" s="391" t="str">
        <f t="shared" si="46"/>
        <v/>
      </c>
      <c r="J584" s="391" t="str">
        <f t="shared" si="47"/>
        <v/>
      </c>
      <c r="K584" s="391" t="str">
        <f t="shared" si="48"/>
        <v/>
      </c>
      <c r="O584" s="367" t="str">
        <v/>
      </c>
      <c r="S584" s="1" t="str">
        <v/>
      </c>
      <c r="AC584" s="367" t="str">
        <f t="shared" si="49"/>
        <v/>
      </c>
    </row>
    <row r="585" spans="1:29">
      <c r="A585" s="367" t="str">
        <v/>
      </c>
      <c r="H585" s="391" t="str">
        <f t="shared" si="45"/>
        <v/>
      </c>
      <c r="I585" s="391" t="str">
        <f t="shared" si="46"/>
        <v/>
      </c>
      <c r="J585" s="391" t="str">
        <f t="shared" si="47"/>
        <v/>
      </c>
      <c r="K585" s="391" t="str">
        <f t="shared" si="48"/>
        <v/>
      </c>
      <c r="O585" s="367" t="str">
        <v/>
      </c>
      <c r="S585" s="1" t="str">
        <v/>
      </c>
      <c r="AC585" s="367" t="str">
        <f t="shared" si="49"/>
        <v/>
      </c>
    </row>
    <row r="586" spans="1:29">
      <c r="A586" s="367" t="str">
        <v/>
      </c>
      <c r="H586" s="391" t="str">
        <f t="shared" si="45"/>
        <v/>
      </c>
      <c r="I586" s="391" t="str">
        <f t="shared" si="46"/>
        <v/>
      </c>
      <c r="J586" s="391" t="str">
        <f t="shared" si="47"/>
        <v/>
      </c>
      <c r="K586" s="391" t="str">
        <f t="shared" si="48"/>
        <v/>
      </c>
      <c r="O586" s="367" t="str">
        <v/>
      </c>
      <c r="S586" s="1" t="str">
        <v/>
      </c>
      <c r="AC586" s="367" t="str">
        <f t="shared" si="49"/>
        <v/>
      </c>
    </row>
    <row r="587" spans="1:29">
      <c r="A587" s="367" t="str">
        <v/>
      </c>
      <c r="H587" s="391" t="str">
        <f t="shared" si="45"/>
        <v/>
      </c>
      <c r="I587" s="391" t="str">
        <f t="shared" si="46"/>
        <v/>
      </c>
      <c r="J587" s="391" t="str">
        <f t="shared" si="47"/>
        <v/>
      </c>
      <c r="K587" s="391" t="str">
        <f t="shared" si="48"/>
        <v/>
      </c>
      <c r="O587" s="367" t="str">
        <v/>
      </c>
      <c r="S587" s="1" t="str">
        <v/>
      </c>
      <c r="AC587" s="367" t="str">
        <f t="shared" si="49"/>
        <v/>
      </c>
    </row>
    <row r="588" spans="1:29">
      <c r="A588" s="367" t="str">
        <v/>
      </c>
      <c r="H588" s="391" t="str">
        <f t="shared" si="45"/>
        <v/>
      </c>
      <c r="I588" s="391" t="str">
        <f t="shared" si="46"/>
        <v/>
      </c>
      <c r="J588" s="391" t="str">
        <f t="shared" si="47"/>
        <v/>
      </c>
      <c r="K588" s="391" t="str">
        <f t="shared" si="48"/>
        <v/>
      </c>
      <c r="O588" s="367" t="str">
        <v/>
      </c>
      <c r="S588" s="1" t="str">
        <v/>
      </c>
      <c r="AC588" s="367" t="str">
        <f t="shared" si="49"/>
        <v/>
      </c>
    </row>
    <row r="589" spans="1:29">
      <c r="A589" s="367" t="str">
        <v/>
      </c>
      <c r="H589" s="391" t="str">
        <f t="shared" si="45"/>
        <v/>
      </c>
      <c r="I589" s="391" t="str">
        <f t="shared" si="46"/>
        <v/>
      </c>
      <c r="J589" s="391" t="str">
        <f t="shared" si="47"/>
        <v/>
      </c>
      <c r="K589" s="391" t="str">
        <f t="shared" si="48"/>
        <v/>
      </c>
      <c r="O589" s="367" t="str">
        <v/>
      </c>
      <c r="S589" s="1" t="str">
        <v/>
      </c>
      <c r="AC589" s="367" t="str">
        <f t="shared" si="49"/>
        <v/>
      </c>
    </row>
    <row r="590" spans="1:29">
      <c r="A590" s="367" t="str">
        <v/>
      </c>
      <c r="H590" s="391" t="str">
        <f t="shared" si="45"/>
        <v/>
      </c>
      <c r="I590" s="391" t="str">
        <f t="shared" si="46"/>
        <v/>
      </c>
      <c r="J590" s="391" t="str">
        <f t="shared" si="47"/>
        <v/>
      </c>
      <c r="K590" s="391" t="str">
        <f t="shared" si="48"/>
        <v/>
      </c>
      <c r="O590" s="367" t="str">
        <v/>
      </c>
      <c r="S590" s="1" t="str">
        <v/>
      </c>
      <c r="AC590" s="367" t="str">
        <f t="shared" si="49"/>
        <v/>
      </c>
    </row>
    <row r="591" spans="1:29">
      <c r="A591" s="367" t="str">
        <v/>
      </c>
      <c r="H591" s="391" t="str">
        <f t="shared" si="45"/>
        <v/>
      </c>
      <c r="I591" s="391" t="str">
        <f t="shared" si="46"/>
        <v/>
      </c>
      <c r="J591" s="391" t="str">
        <f t="shared" si="47"/>
        <v/>
      </c>
      <c r="K591" s="391" t="str">
        <f t="shared" si="48"/>
        <v/>
      </c>
      <c r="O591" s="367" t="str">
        <v/>
      </c>
      <c r="S591" s="1" t="str">
        <v/>
      </c>
      <c r="AC591" s="367" t="str">
        <f t="shared" si="49"/>
        <v/>
      </c>
    </row>
    <row r="592" spans="1:29">
      <c r="A592" s="367" t="str">
        <v/>
      </c>
      <c r="H592" s="391" t="str">
        <f t="shared" si="45"/>
        <v/>
      </c>
      <c r="I592" s="391" t="str">
        <f t="shared" si="46"/>
        <v/>
      </c>
      <c r="J592" s="391" t="str">
        <f t="shared" si="47"/>
        <v/>
      </c>
      <c r="K592" s="391" t="str">
        <f t="shared" si="48"/>
        <v/>
      </c>
      <c r="O592" s="367" t="str">
        <v/>
      </c>
      <c r="S592" s="1" t="str">
        <v/>
      </c>
      <c r="AC592" s="367" t="str">
        <f t="shared" si="49"/>
        <v/>
      </c>
    </row>
    <row r="593" spans="1:29">
      <c r="A593" s="367" t="str">
        <v/>
      </c>
      <c r="H593" s="391" t="str">
        <f t="shared" si="45"/>
        <v/>
      </c>
      <c r="I593" s="391" t="str">
        <f t="shared" si="46"/>
        <v/>
      </c>
      <c r="J593" s="391" t="str">
        <f t="shared" si="47"/>
        <v/>
      </c>
      <c r="K593" s="391" t="str">
        <f t="shared" si="48"/>
        <v/>
      </c>
      <c r="O593" s="367" t="str">
        <v/>
      </c>
      <c r="S593" s="1" t="str">
        <v/>
      </c>
      <c r="AC593" s="367" t="str">
        <f t="shared" si="49"/>
        <v/>
      </c>
    </row>
    <row r="594" spans="1:29">
      <c r="A594" s="367" t="str">
        <v/>
      </c>
      <c r="H594" s="391" t="str">
        <f t="shared" si="45"/>
        <v/>
      </c>
      <c r="I594" s="391" t="str">
        <f t="shared" si="46"/>
        <v/>
      </c>
      <c r="J594" s="391" t="str">
        <f t="shared" si="47"/>
        <v/>
      </c>
      <c r="K594" s="391" t="str">
        <f t="shared" si="48"/>
        <v/>
      </c>
      <c r="O594" s="367" t="str">
        <v/>
      </c>
      <c r="S594" s="1" t="str">
        <v/>
      </c>
      <c r="AC594" s="367" t="str">
        <f t="shared" si="49"/>
        <v/>
      </c>
    </row>
    <row r="595" spans="1:29">
      <c r="A595" s="367" t="str">
        <v/>
      </c>
      <c r="H595" s="391" t="str">
        <f t="shared" si="45"/>
        <v/>
      </c>
      <c r="I595" s="391" t="str">
        <f t="shared" si="46"/>
        <v/>
      </c>
      <c r="J595" s="391" t="str">
        <f t="shared" si="47"/>
        <v/>
      </c>
      <c r="K595" s="391" t="str">
        <f t="shared" si="48"/>
        <v/>
      </c>
      <c r="O595" s="367" t="str">
        <v/>
      </c>
      <c r="S595" s="1" t="str">
        <v/>
      </c>
      <c r="AC595" s="367" t="str">
        <f t="shared" si="49"/>
        <v/>
      </c>
    </row>
    <row r="596" spans="1:29">
      <c r="A596" s="367" t="str">
        <v/>
      </c>
      <c r="H596" s="391" t="str">
        <f t="shared" si="45"/>
        <v/>
      </c>
      <c r="I596" s="391" t="str">
        <f t="shared" si="46"/>
        <v/>
      </c>
      <c r="J596" s="391" t="str">
        <f t="shared" si="47"/>
        <v/>
      </c>
      <c r="K596" s="391" t="str">
        <f t="shared" si="48"/>
        <v/>
      </c>
      <c r="O596" s="367" t="str">
        <v/>
      </c>
      <c r="S596" s="1" t="str">
        <v/>
      </c>
      <c r="AC596" s="367" t="str">
        <f t="shared" si="49"/>
        <v/>
      </c>
    </row>
    <row r="597" spans="1:29">
      <c r="A597" s="367" t="str">
        <v/>
      </c>
      <c r="H597" s="391" t="str">
        <f t="shared" si="45"/>
        <v/>
      </c>
      <c r="I597" s="391" t="str">
        <f t="shared" si="46"/>
        <v/>
      </c>
      <c r="J597" s="391" t="str">
        <f t="shared" si="47"/>
        <v/>
      </c>
      <c r="K597" s="391" t="str">
        <f t="shared" si="48"/>
        <v/>
      </c>
      <c r="O597" s="367" t="str">
        <v/>
      </c>
      <c r="S597" s="1" t="str">
        <v/>
      </c>
      <c r="AC597" s="367" t="str">
        <f t="shared" si="49"/>
        <v/>
      </c>
    </row>
    <row r="598" spans="1:29">
      <c r="A598" s="367" t="str">
        <v/>
      </c>
      <c r="H598" s="391" t="str">
        <f t="shared" si="45"/>
        <v/>
      </c>
      <c r="I598" s="391" t="str">
        <f t="shared" si="46"/>
        <v/>
      </c>
      <c r="J598" s="391" t="str">
        <f t="shared" si="47"/>
        <v/>
      </c>
      <c r="K598" s="391" t="str">
        <f t="shared" si="48"/>
        <v/>
      </c>
      <c r="O598" s="367" t="str">
        <v/>
      </c>
      <c r="S598" s="1" t="str">
        <v/>
      </c>
      <c r="AC598" s="367" t="str">
        <f t="shared" si="49"/>
        <v/>
      </c>
    </row>
    <row r="599" spans="1:29">
      <c r="A599" s="367" t="str">
        <v/>
      </c>
      <c r="H599" s="391" t="str">
        <f t="shared" ref="H599:H662" si="50">IF($C599="","",ROUND((($B$2*$F599*($B$5/1000))/$B$6)*(1+IF($B$18="",0,$B$18)),2))</f>
        <v/>
      </c>
      <c r="I599" s="391" t="str">
        <f t="shared" ref="I599:I662" si="51">IF($C599="","",ROUND((($B$3*$F599*($B$5/1000))/$B$6)*(1+IF($B$18="",0,$B$18)),2))</f>
        <v/>
      </c>
      <c r="J599" s="391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1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7" t="str">
        <v/>
      </c>
      <c r="S599" s="1" t="str">
        <v/>
      </c>
      <c r="AC599" s="367" t="str">
        <f t="shared" si="49"/>
        <v/>
      </c>
    </row>
    <row r="600" spans="1:29">
      <c r="A600" s="367" t="str">
        <v/>
      </c>
      <c r="H600" s="391" t="str">
        <f t="shared" si="50"/>
        <v/>
      </c>
      <c r="I600" s="391" t="str">
        <f t="shared" si="51"/>
        <v/>
      </c>
      <c r="J600" s="391" t="str">
        <f t="shared" si="52"/>
        <v/>
      </c>
      <c r="K600" s="391" t="str">
        <f t="shared" si="53"/>
        <v/>
      </c>
      <c r="O600" s="367" t="str">
        <v/>
      </c>
      <c r="S600" s="1" t="str">
        <v/>
      </c>
      <c r="AC600" s="367" t="str">
        <f t="shared" si="49"/>
        <v/>
      </c>
    </row>
    <row r="601" spans="1:29">
      <c r="A601" s="367" t="str">
        <v/>
      </c>
      <c r="H601" s="391" t="str">
        <f t="shared" si="50"/>
        <v/>
      </c>
      <c r="I601" s="391" t="str">
        <f t="shared" si="51"/>
        <v/>
      </c>
      <c r="J601" s="391" t="str">
        <f t="shared" si="52"/>
        <v/>
      </c>
      <c r="K601" s="391" t="str">
        <f t="shared" si="53"/>
        <v/>
      </c>
      <c r="O601" s="367" t="str">
        <v/>
      </c>
      <c r="S601" s="1" t="str">
        <v/>
      </c>
      <c r="AC601" s="367" t="str">
        <f t="shared" si="49"/>
        <v/>
      </c>
    </row>
    <row r="602" spans="1:29">
      <c r="A602" s="367" t="str">
        <v/>
      </c>
      <c r="H602" s="391" t="str">
        <f t="shared" si="50"/>
        <v/>
      </c>
      <c r="I602" s="391" t="str">
        <f t="shared" si="51"/>
        <v/>
      </c>
      <c r="J602" s="391" t="str">
        <f t="shared" si="52"/>
        <v/>
      </c>
      <c r="K602" s="391" t="str">
        <f t="shared" si="53"/>
        <v/>
      </c>
      <c r="O602" s="367" t="str">
        <v/>
      </c>
      <c r="S602" s="1" t="str">
        <v/>
      </c>
      <c r="AC602" s="367" t="str">
        <f t="shared" si="49"/>
        <v/>
      </c>
    </row>
    <row r="603" spans="1:29">
      <c r="A603" s="367" t="str">
        <v/>
      </c>
      <c r="H603" s="391" t="str">
        <f t="shared" si="50"/>
        <v/>
      </c>
      <c r="I603" s="391" t="str">
        <f t="shared" si="51"/>
        <v/>
      </c>
      <c r="J603" s="391" t="str">
        <f t="shared" si="52"/>
        <v/>
      </c>
      <c r="K603" s="391" t="str">
        <f t="shared" si="53"/>
        <v/>
      </c>
      <c r="O603" s="367" t="str">
        <v/>
      </c>
      <c r="S603" s="1" t="str">
        <v/>
      </c>
      <c r="AC603" s="367" t="str">
        <f t="shared" si="49"/>
        <v/>
      </c>
    </row>
    <row r="604" spans="1:29">
      <c r="A604" s="367" t="str">
        <v/>
      </c>
      <c r="H604" s="391" t="str">
        <f t="shared" si="50"/>
        <v/>
      </c>
      <c r="I604" s="391" t="str">
        <f t="shared" si="51"/>
        <v/>
      </c>
      <c r="J604" s="391" t="str">
        <f t="shared" si="52"/>
        <v/>
      </c>
      <c r="K604" s="391" t="str">
        <f t="shared" si="53"/>
        <v/>
      </c>
      <c r="O604" s="367" t="str">
        <v/>
      </c>
      <c r="S604" s="1" t="str">
        <v/>
      </c>
      <c r="AC604" s="367" t="str">
        <f t="shared" si="49"/>
        <v/>
      </c>
    </row>
    <row r="605" spans="1:29">
      <c r="A605" s="367" t="str">
        <v/>
      </c>
      <c r="H605" s="391" t="str">
        <f t="shared" si="50"/>
        <v/>
      </c>
      <c r="I605" s="391" t="str">
        <f t="shared" si="51"/>
        <v/>
      </c>
      <c r="J605" s="391" t="str">
        <f t="shared" si="52"/>
        <v/>
      </c>
      <c r="K605" s="391" t="str">
        <f t="shared" si="53"/>
        <v/>
      </c>
      <c r="O605" s="367" t="str">
        <v/>
      </c>
      <c r="S605" s="1" t="str">
        <v/>
      </c>
      <c r="AC605" s="367" t="str">
        <f t="shared" si="49"/>
        <v/>
      </c>
    </row>
    <row r="606" spans="1:29">
      <c r="A606" s="367" t="str">
        <v/>
      </c>
      <c r="H606" s="391" t="str">
        <f t="shared" si="50"/>
        <v/>
      </c>
      <c r="I606" s="391" t="str">
        <f t="shared" si="51"/>
        <v/>
      </c>
      <c r="J606" s="391" t="str">
        <f t="shared" si="52"/>
        <v/>
      </c>
      <c r="K606" s="391" t="str">
        <f t="shared" si="53"/>
        <v/>
      </c>
      <c r="O606" s="367" t="str">
        <v/>
      </c>
      <c r="S606" s="1" t="str">
        <v/>
      </c>
      <c r="AC606" s="367" t="str">
        <f t="shared" si="49"/>
        <v/>
      </c>
    </row>
    <row r="607" spans="1:29">
      <c r="A607" s="367" t="str">
        <v/>
      </c>
      <c r="H607" s="391" t="str">
        <f t="shared" si="50"/>
        <v/>
      </c>
      <c r="I607" s="391" t="str">
        <f t="shared" si="51"/>
        <v/>
      </c>
      <c r="J607" s="391" t="str">
        <f t="shared" si="52"/>
        <v/>
      </c>
      <c r="K607" s="391" t="str">
        <f t="shared" si="53"/>
        <v/>
      </c>
      <c r="O607" s="367" t="str">
        <v/>
      </c>
      <c r="S607" s="1" t="str">
        <v/>
      </c>
      <c r="AC607" s="367" t="str">
        <f t="shared" si="49"/>
        <v/>
      </c>
    </row>
    <row r="608" spans="1:29">
      <c r="A608" s="367" t="str">
        <v/>
      </c>
      <c r="H608" s="391" t="str">
        <f t="shared" si="50"/>
        <v/>
      </c>
      <c r="I608" s="391" t="str">
        <f t="shared" si="51"/>
        <v/>
      </c>
      <c r="J608" s="391" t="str">
        <f t="shared" si="52"/>
        <v/>
      </c>
      <c r="K608" s="391" t="str">
        <f t="shared" si="53"/>
        <v/>
      </c>
      <c r="O608" s="367" t="str">
        <v/>
      </c>
      <c r="S608" s="1" t="str">
        <v/>
      </c>
      <c r="AC608" s="367" t="str">
        <f t="shared" si="49"/>
        <v/>
      </c>
    </row>
    <row r="609" spans="1:29">
      <c r="A609" s="367" t="str">
        <v/>
      </c>
      <c r="H609" s="391" t="str">
        <f t="shared" si="50"/>
        <v/>
      </c>
      <c r="I609" s="391" t="str">
        <f t="shared" si="51"/>
        <v/>
      </c>
      <c r="J609" s="391" t="str">
        <f t="shared" si="52"/>
        <v/>
      </c>
      <c r="K609" s="391" t="str">
        <f t="shared" si="53"/>
        <v/>
      </c>
      <c r="O609" s="367" t="str">
        <v/>
      </c>
      <c r="S609" s="1" t="str">
        <v/>
      </c>
      <c r="AC609" s="367" t="str">
        <f t="shared" si="49"/>
        <v/>
      </c>
    </row>
    <row r="610" spans="1:29">
      <c r="A610" s="367" t="str">
        <v/>
      </c>
      <c r="H610" s="391" t="str">
        <f t="shared" si="50"/>
        <v/>
      </c>
      <c r="I610" s="391" t="str">
        <f t="shared" si="51"/>
        <v/>
      </c>
      <c r="J610" s="391" t="str">
        <f t="shared" si="52"/>
        <v/>
      </c>
      <c r="K610" s="391" t="str">
        <f t="shared" si="53"/>
        <v/>
      </c>
      <c r="O610" s="367" t="str">
        <v/>
      </c>
      <c r="S610" s="1" t="str">
        <v/>
      </c>
      <c r="AC610" s="367" t="str">
        <f t="shared" si="49"/>
        <v/>
      </c>
    </row>
    <row r="611" spans="1:29">
      <c r="A611" s="367" t="str">
        <v/>
      </c>
      <c r="H611" s="391" t="str">
        <f t="shared" si="50"/>
        <v/>
      </c>
      <c r="I611" s="391" t="str">
        <f t="shared" si="51"/>
        <v/>
      </c>
      <c r="J611" s="391" t="str">
        <f t="shared" si="52"/>
        <v/>
      </c>
      <c r="K611" s="391" t="str">
        <f t="shared" si="53"/>
        <v/>
      </c>
      <c r="O611" s="367" t="str">
        <v/>
      </c>
      <c r="S611" s="1" t="str">
        <v/>
      </c>
      <c r="AC611" s="367" t="str">
        <f t="shared" si="49"/>
        <v/>
      </c>
    </row>
    <row r="612" spans="1:29">
      <c r="A612" s="367" t="str">
        <v/>
      </c>
      <c r="H612" s="391" t="str">
        <f t="shared" si="50"/>
        <v/>
      </c>
      <c r="I612" s="391" t="str">
        <f t="shared" si="51"/>
        <v/>
      </c>
      <c r="J612" s="391" t="str">
        <f t="shared" si="52"/>
        <v/>
      </c>
      <c r="K612" s="391" t="str">
        <f t="shared" si="53"/>
        <v/>
      </c>
      <c r="O612" s="367" t="str">
        <v/>
      </c>
      <c r="S612" s="1" t="str">
        <v/>
      </c>
      <c r="AC612" s="367" t="str">
        <f t="shared" si="49"/>
        <v/>
      </c>
    </row>
    <row r="613" spans="1:29">
      <c r="A613" s="367" t="str">
        <v/>
      </c>
      <c r="H613" s="391" t="str">
        <f t="shared" si="50"/>
        <v/>
      </c>
      <c r="I613" s="391" t="str">
        <f t="shared" si="51"/>
        <v/>
      </c>
      <c r="J613" s="391" t="str">
        <f t="shared" si="52"/>
        <v/>
      </c>
      <c r="K613" s="391" t="str">
        <f t="shared" si="53"/>
        <v/>
      </c>
      <c r="O613" s="367" t="str">
        <v/>
      </c>
      <c r="S613" s="1" t="str">
        <v/>
      </c>
      <c r="AC613" s="367" t="str">
        <f t="shared" si="49"/>
        <v/>
      </c>
    </row>
    <row r="614" spans="1:29">
      <c r="A614" s="367" t="str">
        <v/>
      </c>
      <c r="H614" s="391" t="str">
        <f t="shared" si="50"/>
        <v/>
      </c>
      <c r="I614" s="391" t="str">
        <f t="shared" si="51"/>
        <v/>
      </c>
      <c r="J614" s="391" t="str">
        <f t="shared" si="52"/>
        <v/>
      </c>
      <c r="K614" s="391" t="str">
        <f t="shared" si="53"/>
        <v/>
      </c>
      <c r="O614" s="367" t="str">
        <v/>
      </c>
      <c r="S614" s="1" t="str">
        <v/>
      </c>
      <c r="AC614" s="367" t="str">
        <f t="shared" si="49"/>
        <v/>
      </c>
    </row>
    <row r="615" spans="1:29">
      <c r="A615" s="367" t="str">
        <v/>
      </c>
      <c r="H615" s="391" t="str">
        <f t="shared" si="50"/>
        <v/>
      </c>
      <c r="I615" s="391" t="str">
        <f t="shared" si="51"/>
        <v/>
      </c>
      <c r="J615" s="391" t="str">
        <f t="shared" si="52"/>
        <v/>
      </c>
      <c r="K615" s="391" t="str">
        <f t="shared" si="53"/>
        <v/>
      </c>
      <c r="O615" s="367" t="str">
        <v/>
      </c>
      <c r="S615" s="1" t="str">
        <v/>
      </c>
      <c r="AC615" s="367" t="str">
        <f t="shared" si="49"/>
        <v/>
      </c>
    </row>
    <row r="616" spans="1:29">
      <c r="A616" s="367" t="str">
        <v/>
      </c>
      <c r="H616" s="391" t="str">
        <f t="shared" si="50"/>
        <v/>
      </c>
      <c r="I616" s="391" t="str">
        <f t="shared" si="51"/>
        <v/>
      </c>
      <c r="J616" s="391" t="str">
        <f t="shared" si="52"/>
        <v/>
      </c>
      <c r="K616" s="391" t="str">
        <f t="shared" si="53"/>
        <v/>
      </c>
      <c r="O616" s="367" t="str">
        <v/>
      </c>
      <c r="S616" s="1" t="str">
        <v/>
      </c>
      <c r="AC616" s="367" t="str">
        <f t="shared" si="49"/>
        <v/>
      </c>
    </row>
    <row r="617" spans="1:29">
      <c r="A617" s="367" t="str">
        <v/>
      </c>
      <c r="H617" s="391" t="str">
        <f t="shared" si="50"/>
        <v/>
      </c>
      <c r="I617" s="391" t="str">
        <f t="shared" si="51"/>
        <v/>
      </c>
      <c r="J617" s="391" t="str">
        <f t="shared" si="52"/>
        <v/>
      </c>
      <c r="K617" s="391" t="str">
        <f t="shared" si="53"/>
        <v/>
      </c>
      <c r="O617" s="367" t="str">
        <v/>
      </c>
      <c r="S617" s="1" t="str">
        <v/>
      </c>
      <c r="AC617" s="367" t="str">
        <f t="shared" si="49"/>
        <v/>
      </c>
    </row>
    <row r="618" spans="1:29">
      <c r="A618" s="367" t="str">
        <v/>
      </c>
      <c r="H618" s="391" t="str">
        <f t="shared" si="50"/>
        <v/>
      </c>
      <c r="I618" s="391" t="str">
        <f t="shared" si="51"/>
        <v/>
      </c>
      <c r="J618" s="391" t="str">
        <f t="shared" si="52"/>
        <v/>
      </c>
      <c r="K618" s="391" t="str">
        <f t="shared" si="53"/>
        <v/>
      </c>
      <c r="O618" s="367" t="str">
        <v/>
      </c>
      <c r="S618" s="1" t="str">
        <v/>
      </c>
      <c r="AC618" s="367" t="str">
        <f t="shared" si="49"/>
        <v/>
      </c>
    </row>
    <row r="619" spans="1:29">
      <c r="A619" s="367" t="str">
        <v/>
      </c>
      <c r="H619" s="391" t="str">
        <f t="shared" si="50"/>
        <v/>
      </c>
      <c r="I619" s="391" t="str">
        <f t="shared" si="51"/>
        <v/>
      </c>
      <c r="J619" s="391" t="str">
        <f t="shared" si="52"/>
        <v/>
      </c>
      <c r="K619" s="391" t="str">
        <f t="shared" si="53"/>
        <v/>
      </c>
      <c r="O619" s="367" t="str">
        <v/>
      </c>
      <c r="S619" s="1" t="str">
        <v/>
      </c>
      <c r="AC619" s="367" t="str">
        <f t="shared" si="49"/>
        <v/>
      </c>
    </row>
    <row r="620" spans="1:29">
      <c r="A620" s="367" t="str">
        <v/>
      </c>
      <c r="H620" s="391" t="str">
        <f t="shared" si="50"/>
        <v/>
      </c>
      <c r="I620" s="391" t="str">
        <f t="shared" si="51"/>
        <v/>
      </c>
      <c r="J620" s="391" t="str">
        <f t="shared" si="52"/>
        <v/>
      </c>
      <c r="K620" s="391" t="str">
        <f t="shared" si="53"/>
        <v/>
      </c>
      <c r="O620" s="367" t="str">
        <v/>
      </c>
      <c r="S620" s="1" t="str">
        <v/>
      </c>
      <c r="AC620" s="367" t="str">
        <f t="shared" si="49"/>
        <v/>
      </c>
    </row>
    <row r="621" spans="1:29">
      <c r="A621" s="367" t="str">
        <v/>
      </c>
      <c r="H621" s="391" t="str">
        <f t="shared" si="50"/>
        <v/>
      </c>
      <c r="I621" s="391" t="str">
        <f t="shared" si="51"/>
        <v/>
      </c>
      <c r="J621" s="391" t="str">
        <f t="shared" si="52"/>
        <v/>
      </c>
      <c r="K621" s="391" t="str">
        <f t="shared" si="53"/>
        <v/>
      </c>
      <c r="O621" s="367" t="str">
        <v/>
      </c>
      <c r="S621" s="1" t="str">
        <v/>
      </c>
      <c r="AC621" s="367" t="str">
        <f t="shared" si="49"/>
        <v/>
      </c>
    </row>
    <row r="622" spans="1:29">
      <c r="A622" s="367" t="str">
        <v/>
      </c>
      <c r="H622" s="391" t="str">
        <f t="shared" si="50"/>
        <v/>
      </c>
      <c r="I622" s="391" t="str">
        <f t="shared" si="51"/>
        <v/>
      </c>
      <c r="J622" s="391" t="str">
        <f t="shared" si="52"/>
        <v/>
      </c>
      <c r="K622" s="391" t="str">
        <f t="shared" si="53"/>
        <v/>
      </c>
      <c r="O622" s="367" t="str">
        <v/>
      </c>
      <c r="S622" s="1" t="str">
        <v/>
      </c>
      <c r="AC622" s="367" t="str">
        <f t="shared" si="49"/>
        <v/>
      </c>
    </row>
    <row r="623" spans="1:29">
      <c r="A623" s="367" t="str">
        <v/>
      </c>
      <c r="H623" s="391" t="str">
        <f t="shared" si="50"/>
        <v/>
      </c>
      <c r="I623" s="391" t="str">
        <f t="shared" si="51"/>
        <v/>
      </c>
      <c r="J623" s="391" t="str">
        <f t="shared" si="52"/>
        <v/>
      </c>
      <c r="K623" s="391" t="str">
        <f t="shared" si="53"/>
        <v/>
      </c>
      <c r="O623" s="367" t="str">
        <v/>
      </c>
      <c r="S623" s="1" t="str">
        <v/>
      </c>
      <c r="AC623" s="367" t="str">
        <f t="shared" si="49"/>
        <v/>
      </c>
    </row>
    <row r="624" spans="1:29">
      <c r="A624" s="367" t="str">
        <v/>
      </c>
      <c r="H624" s="391" t="str">
        <f t="shared" si="50"/>
        <v/>
      </c>
      <c r="I624" s="391" t="str">
        <f t="shared" si="51"/>
        <v/>
      </c>
      <c r="J624" s="391" t="str">
        <f t="shared" si="52"/>
        <v/>
      </c>
      <c r="K624" s="391" t="str">
        <f t="shared" si="53"/>
        <v/>
      </c>
      <c r="O624" s="367" t="str">
        <v/>
      </c>
      <c r="S624" s="1" t="str">
        <v/>
      </c>
      <c r="AC624" s="367" t="str">
        <f t="shared" ref="AC624:AC687" si="54">IF($AB624&lt;&gt;"",$AB624,IFERROR(ROUNDUP($Z624/$Y624,1),""))</f>
        <v/>
      </c>
    </row>
    <row r="625" spans="1:29">
      <c r="A625" s="367" t="str">
        <v/>
      </c>
      <c r="H625" s="391" t="str">
        <f t="shared" si="50"/>
        <v/>
      </c>
      <c r="I625" s="391" t="str">
        <f t="shared" si="51"/>
        <v/>
      </c>
      <c r="J625" s="391" t="str">
        <f t="shared" si="52"/>
        <v/>
      </c>
      <c r="K625" s="391" t="str">
        <f t="shared" si="53"/>
        <v/>
      </c>
      <c r="O625" s="367" t="str">
        <v/>
      </c>
      <c r="S625" s="1" t="str">
        <v/>
      </c>
      <c r="AC625" s="367" t="str">
        <f t="shared" si="54"/>
        <v/>
      </c>
    </row>
    <row r="626" spans="1:29">
      <c r="A626" s="367" t="str">
        <v/>
      </c>
      <c r="H626" s="391" t="str">
        <f t="shared" si="50"/>
        <v/>
      </c>
      <c r="I626" s="391" t="str">
        <f t="shared" si="51"/>
        <v/>
      </c>
      <c r="J626" s="391" t="str">
        <f t="shared" si="52"/>
        <v/>
      </c>
      <c r="K626" s="391" t="str">
        <f t="shared" si="53"/>
        <v/>
      </c>
      <c r="O626" s="367" t="str">
        <v/>
      </c>
      <c r="S626" s="1" t="str">
        <v/>
      </c>
      <c r="AC626" s="367" t="str">
        <f t="shared" si="54"/>
        <v/>
      </c>
    </row>
    <row r="627" spans="1:29">
      <c r="A627" s="367" t="str">
        <v/>
      </c>
      <c r="H627" s="391" t="str">
        <f t="shared" si="50"/>
        <v/>
      </c>
      <c r="I627" s="391" t="str">
        <f t="shared" si="51"/>
        <v/>
      </c>
      <c r="J627" s="391" t="str">
        <f t="shared" si="52"/>
        <v/>
      </c>
      <c r="K627" s="391" t="str">
        <f t="shared" si="53"/>
        <v/>
      </c>
      <c r="O627" s="367" t="str">
        <v/>
      </c>
      <c r="S627" s="1" t="str">
        <v/>
      </c>
      <c r="AC627" s="367" t="str">
        <f t="shared" si="54"/>
        <v/>
      </c>
    </row>
    <row r="628" spans="1:29">
      <c r="A628" s="367" t="str">
        <v/>
      </c>
      <c r="H628" s="391" t="str">
        <f t="shared" si="50"/>
        <v/>
      </c>
      <c r="I628" s="391" t="str">
        <f t="shared" si="51"/>
        <v/>
      </c>
      <c r="J628" s="391" t="str">
        <f t="shared" si="52"/>
        <v/>
      </c>
      <c r="K628" s="391" t="str">
        <f t="shared" si="53"/>
        <v/>
      </c>
      <c r="O628" s="367" t="str">
        <v/>
      </c>
      <c r="S628" s="1" t="str">
        <v/>
      </c>
      <c r="AC628" s="367" t="str">
        <f t="shared" si="54"/>
        <v/>
      </c>
    </row>
    <row r="629" spans="1:29">
      <c r="A629" s="367" t="str">
        <v/>
      </c>
      <c r="H629" s="391" t="str">
        <f t="shared" si="50"/>
        <v/>
      </c>
      <c r="I629" s="391" t="str">
        <f t="shared" si="51"/>
        <v/>
      </c>
      <c r="J629" s="391" t="str">
        <f t="shared" si="52"/>
        <v/>
      </c>
      <c r="K629" s="391" t="str">
        <f t="shared" si="53"/>
        <v/>
      </c>
      <c r="O629" s="367" t="str">
        <v/>
      </c>
      <c r="S629" s="1" t="str">
        <v/>
      </c>
      <c r="AC629" s="367" t="str">
        <f t="shared" si="54"/>
        <v/>
      </c>
    </row>
    <row r="630" spans="1:29">
      <c r="A630" s="367" t="str">
        <v/>
      </c>
      <c r="H630" s="391" t="str">
        <f t="shared" si="50"/>
        <v/>
      </c>
      <c r="I630" s="391" t="str">
        <f t="shared" si="51"/>
        <v/>
      </c>
      <c r="J630" s="391" t="str">
        <f t="shared" si="52"/>
        <v/>
      </c>
      <c r="K630" s="391" t="str">
        <f t="shared" si="53"/>
        <v/>
      </c>
      <c r="O630" s="367" t="str">
        <v/>
      </c>
      <c r="S630" s="1" t="str">
        <v/>
      </c>
      <c r="AC630" s="367" t="str">
        <f t="shared" si="54"/>
        <v/>
      </c>
    </row>
    <row r="631" spans="1:29">
      <c r="A631" s="367" t="str">
        <v/>
      </c>
      <c r="H631" s="391" t="str">
        <f t="shared" si="50"/>
        <v/>
      </c>
      <c r="I631" s="391" t="str">
        <f t="shared" si="51"/>
        <v/>
      </c>
      <c r="J631" s="391" t="str">
        <f t="shared" si="52"/>
        <v/>
      </c>
      <c r="K631" s="391" t="str">
        <f t="shared" si="53"/>
        <v/>
      </c>
      <c r="O631" s="367" t="str">
        <v/>
      </c>
      <c r="S631" s="1" t="str">
        <v/>
      </c>
      <c r="AC631" s="367" t="str">
        <f t="shared" si="54"/>
        <v/>
      </c>
    </row>
    <row r="632" spans="1:29">
      <c r="A632" s="367" t="str">
        <v/>
      </c>
      <c r="H632" s="391" t="str">
        <f t="shared" si="50"/>
        <v/>
      </c>
      <c r="I632" s="391" t="str">
        <f t="shared" si="51"/>
        <v/>
      </c>
      <c r="J632" s="391" t="str">
        <f t="shared" si="52"/>
        <v/>
      </c>
      <c r="K632" s="391" t="str">
        <f t="shared" si="53"/>
        <v/>
      </c>
      <c r="O632" s="367" t="str">
        <v/>
      </c>
      <c r="S632" s="1" t="str">
        <v/>
      </c>
      <c r="AC632" s="367" t="str">
        <f t="shared" si="54"/>
        <v/>
      </c>
    </row>
    <row r="633" spans="1:29">
      <c r="A633" s="367" t="str">
        <v/>
      </c>
      <c r="H633" s="391" t="str">
        <f t="shared" si="50"/>
        <v/>
      </c>
      <c r="I633" s="391" t="str">
        <f t="shared" si="51"/>
        <v/>
      </c>
      <c r="J633" s="391" t="str">
        <f t="shared" si="52"/>
        <v/>
      </c>
      <c r="K633" s="391" t="str">
        <f t="shared" si="53"/>
        <v/>
      </c>
      <c r="O633" s="367" t="str">
        <v/>
      </c>
      <c r="S633" s="1" t="str">
        <v/>
      </c>
      <c r="AC633" s="367" t="str">
        <f t="shared" si="54"/>
        <v/>
      </c>
    </row>
    <row r="634" spans="1:29">
      <c r="A634" s="367" t="str">
        <v/>
      </c>
      <c r="H634" s="391" t="str">
        <f t="shared" si="50"/>
        <v/>
      </c>
      <c r="I634" s="391" t="str">
        <f t="shared" si="51"/>
        <v/>
      </c>
      <c r="J634" s="391" t="str">
        <f t="shared" si="52"/>
        <v/>
      </c>
      <c r="K634" s="391" t="str">
        <f t="shared" si="53"/>
        <v/>
      </c>
      <c r="O634" s="367" t="str">
        <v/>
      </c>
      <c r="S634" s="1" t="str">
        <v/>
      </c>
      <c r="AC634" s="367" t="str">
        <f t="shared" si="54"/>
        <v/>
      </c>
    </row>
    <row r="635" spans="1:29">
      <c r="A635" s="367" t="str">
        <v/>
      </c>
      <c r="H635" s="391" t="str">
        <f t="shared" si="50"/>
        <v/>
      </c>
      <c r="I635" s="391" t="str">
        <f t="shared" si="51"/>
        <v/>
      </c>
      <c r="J635" s="391" t="str">
        <f t="shared" si="52"/>
        <v/>
      </c>
      <c r="K635" s="391" t="str">
        <f t="shared" si="53"/>
        <v/>
      </c>
      <c r="O635" s="367" t="str">
        <v/>
      </c>
      <c r="S635" s="1" t="str">
        <v/>
      </c>
      <c r="AC635" s="367" t="str">
        <f t="shared" si="54"/>
        <v/>
      </c>
    </row>
    <row r="636" spans="1:29">
      <c r="A636" s="367" t="str">
        <v/>
      </c>
      <c r="H636" s="391" t="str">
        <f t="shared" si="50"/>
        <v/>
      </c>
      <c r="I636" s="391" t="str">
        <f t="shared" si="51"/>
        <v/>
      </c>
      <c r="J636" s="391" t="str">
        <f t="shared" si="52"/>
        <v/>
      </c>
      <c r="K636" s="391" t="str">
        <f t="shared" si="53"/>
        <v/>
      </c>
      <c r="O636" s="367" t="str">
        <v/>
      </c>
      <c r="S636" s="1" t="str">
        <v/>
      </c>
      <c r="AC636" s="367" t="str">
        <f t="shared" si="54"/>
        <v/>
      </c>
    </row>
    <row r="637" spans="1:29">
      <c r="A637" s="367" t="str">
        <v/>
      </c>
      <c r="H637" s="391" t="str">
        <f t="shared" si="50"/>
        <v/>
      </c>
      <c r="I637" s="391" t="str">
        <f t="shared" si="51"/>
        <v/>
      </c>
      <c r="J637" s="391" t="str">
        <f t="shared" si="52"/>
        <v/>
      </c>
      <c r="K637" s="391" t="str">
        <f t="shared" si="53"/>
        <v/>
      </c>
      <c r="O637" s="367" t="str">
        <v/>
      </c>
      <c r="S637" s="1" t="str">
        <v/>
      </c>
      <c r="AC637" s="367" t="str">
        <f t="shared" si="54"/>
        <v/>
      </c>
    </row>
    <row r="638" spans="1:29">
      <c r="A638" s="367" t="str">
        <v/>
      </c>
      <c r="H638" s="391" t="str">
        <f t="shared" si="50"/>
        <v/>
      </c>
      <c r="I638" s="391" t="str">
        <f t="shared" si="51"/>
        <v/>
      </c>
      <c r="J638" s="391" t="str">
        <f t="shared" si="52"/>
        <v/>
      </c>
      <c r="K638" s="391" t="str">
        <f t="shared" si="53"/>
        <v/>
      </c>
      <c r="O638" s="367" t="str">
        <v/>
      </c>
      <c r="S638" s="1" t="str">
        <v/>
      </c>
      <c r="AC638" s="367" t="str">
        <f t="shared" si="54"/>
        <v/>
      </c>
    </row>
    <row r="639" spans="1:29">
      <c r="A639" s="367" t="str">
        <v/>
      </c>
      <c r="H639" s="391" t="str">
        <f t="shared" si="50"/>
        <v/>
      </c>
      <c r="I639" s="391" t="str">
        <f t="shared" si="51"/>
        <v/>
      </c>
      <c r="J639" s="391" t="str">
        <f t="shared" si="52"/>
        <v/>
      </c>
      <c r="K639" s="391" t="str">
        <f t="shared" si="53"/>
        <v/>
      </c>
      <c r="O639" s="367" t="str">
        <v/>
      </c>
      <c r="S639" s="1" t="str">
        <v/>
      </c>
      <c r="AC639" s="367" t="str">
        <f t="shared" si="54"/>
        <v/>
      </c>
    </row>
    <row r="640" spans="1:29">
      <c r="A640" s="367" t="str">
        <v/>
      </c>
      <c r="H640" s="391" t="str">
        <f t="shared" si="50"/>
        <v/>
      </c>
      <c r="I640" s="391" t="str">
        <f t="shared" si="51"/>
        <v/>
      </c>
      <c r="J640" s="391" t="str">
        <f t="shared" si="52"/>
        <v/>
      </c>
      <c r="K640" s="391" t="str">
        <f t="shared" si="53"/>
        <v/>
      </c>
      <c r="O640" s="367" t="str">
        <v/>
      </c>
      <c r="S640" s="1" t="str">
        <v/>
      </c>
      <c r="AC640" s="367" t="str">
        <f t="shared" si="54"/>
        <v/>
      </c>
    </row>
    <row r="641" spans="1:29">
      <c r="A641" s="367" t="str">
        <v/>
      </c>
      <c r="H641" s="391" t="str">
        <f t="shared" si="50"/>
        <v/>
      </c>
      <c r="I641" s="391" t="str">
        <f t="shared" si="51"/>
        <v/>
      </c>
      <c r="J641" s="391" t="str">
        <f t="shared" si="52"/>
        <v/>
      </c>
      <c r="K641" s="391" t="str">
        <f t="shared" si="53"/>
        <v/>
      </c>
      <c r="O641" s="367" t="str">
        <v/>
      </c>
      <c r="S641" s="1" t="str">
        <v/>
      </c>
      <c r="AC641" s="367" t="str">
        <f t="shared" si="54"/>
        <v/>
      </c>
    </row>
    <row r="642" spans="1:29">
      <c r="A642" s="367" t="str">
        <v/>
      </c>
      <c r="H642" s="391" t="str">
        <f t="shared" si="50"/>
        <v/>
      </c>
      <c r="I642" s="391" t="str">
        <f t="shared" si="51"/>
        <v/>
      </c>
      <c r="J642" s="391" t="str">
        <f t="shared" si="52"/>
        <v/>
      </c>
      <c r="K642" s="391" t="str">
        <f t="shared" si="53"/>
        <v/>
      </c>
      <c r="O642" s="367" t="str">
        <v/>
      </c>
      <c r="S642" s="1" t="str">
        <v/>
      </c>
      <c r="AC642" s="367" t="str">
        <f t="shared" si="54"/>
        <v/>
      </c>
    </row>
    <row r="643" spans="1:29">
      <c r="A643" s="367" t="str">
        <v/>
      </c>
      <c r="H643" s="391" t="str">
        <f t="shared" si="50"/>
        <v/>
      </c>
      <c r="I643" s="391" t="str">
        <f t="shared" si="51"/>
        <v/>
      </c>
      <c r="J643" s="391" t="str">
        <f t="shared" si="52"/>
        <v/>
      </c>
      <c r="K643" s="391" t="str">
        <f t="shared" si="53"/>
        <v/>
      </c>
      <c r="O643" s="367" t="str">
        <v/>
      </c>
      <c r="S643" s="1" t="str">
        <v/>
      </c>
      <c r="AC643" s="367" t="str">
        <f t="shared" si="54"/>
        <v/>
      </c>
    </row>
    <row r="644" spans="1:29">
      <c r="A644" s="367" t="str">
        <v/>
      </c>
      <c r="H644" s="391" t="str">
        <f t="shared" si="50"/>
        <v/>
      </c>
      <c r="I644" s="391" t="str">
        <f t="shared" si="51"/>
        <v/>
      </c>
      <c r="J644" s="391" t="str">
        <f t="shared" si="52"/>
        <v/>
      </c>
      <c r="K644" s="391" t="str">
        <f t="shared" si="53"/>
        <v/>
      </c>
      <c r="O644" s="367" t="str">
        <v/>
      </c>
      <c r="S644" s="1" t="str">
        <v/>
      </c>
      <c r="AC644" s="367" t="str">
        <f t="shared" si="54"/>
        <v/>
      </c>
    </row>
    <row r="645" spans="1:29">
      <c r="A645" s="367" t="str">
        <v/>
      </c>
      <c r="H645" s="391" t="str">
        <f t="shared" si="50"/>
        <v/>
      </c>
      <c r="I645" s="391" t="str">
        <f t="shared" si="51"/>
        <v/>
      </c>
      <c r="J645" s="391" t="str">
        <f t="shared" si="52"/>
        <v/>
      </c>
      <c r="K645" s="391" t="str">
        <f t="shared" si="53"/>
        <v/>
      </c>
      <c r="O645" s="367" t="str">
        <v/>
      </c>
      <c r="S645" s="1" t="str">
        <v/>
      </c>
      <c r="AC645" s="367" t="str">
        <f t="shared" si="54"/>
        <v/>
      </c>
    </row>
    <row r="646" spans="1:29">
      <c r="A646" s="367" t="str">
        <v/>
      </c>
      <c r="H646" s="391" t="str">
        <f t="shared" si="50"/>
        <v/>
      </c>
      <c r="I646" s="391" t="str">
        <f t="shared" si="51"/>
        <v/>
      </c>
      <c r="J646" s="391" t="str">
        <f t="shared" si="52"/>
        <v/>
      </c>
      <c r="K646" s="391" t="str">
        <f t="shared" si="53"/>
        <v/>
      </c>
      <c r="O646" s="367" t="str">
        <v/>
      </c>
      <c r="S646" s="1" t="str">
        <v/>
      </c>
      <c r="AC646" s="367" t="str">
        <f t="shared" si="54"/>
        <v/>
      </c>
    </row>
    <row r="647" spans="1:29">
      <c r="A647" s="367" t="str">
        <v/>
      </c>
      <c r="H647" s="391" t="str">
        <f t="shared" si="50"/>
        <v/>
      </c>
      <c r="I647" s="391" t="str">
        <f t="shared" si="51"/>
        <v/>
      </c>
      <c r="J647" s="391" t="str">
        <f t="shared" si="52"/>
        <v/>
      </c>
      <c r="K647" s="391" t="str">
        <f t="shared" si="53"/>
        <v/>
      </c>
      <c r="O647" s="367" t="str">
        <v/>
      </c>
      <c r="S647" s="1" t="str">
        <v/>
      </c>
      <c r="AC647" s="367" t="str">
        <f t="shared" si="54"/>
        <v/>
      </c>
    </row>
    <row r="648" spans="1:29">
      <c r="A648" s="367" t="str">
        <v/>
      </c>
      <c r="H648" s="391" t="str">
        <f t="shared" si="50"/>
        <v/>
      </c>
      <c r="I648" s="391" t="str">
        <f t="shared" si="51"/>
        <v/>
      </c>
      <c r="J648" s="391" t="str">
        <f t="shared" si="52"/>
        <v/>
      </c>
      <c r="K648" s="391" t="str">
        <f t="shared" si="53"/>
        <v/>
      </c>
      <c r="O648" s="367" t="str">
        <v/>
      </c>
      <c r="S648" s="1" t="str">
        <v/>
      </c>
      <c r="AC648" s="367" t="str">
        <f t="shared" si="54"/>
        <v/>
      </c>
    </row>
    <row r="649" spans="1:29">
      <c r="A649" s="367" t="str">
        <v/>
      </c>
      <c r="H649" s="391" t="str">
        <f t="shared" si="50"/>
        <v/>
      </c>
      <c r="I649" s="391" t="str">
        <f t="shared" si="51"/>
        <v/>
      </c>
      <c r="J649" s="391" t="str">
        <f t="shared" si="52"/>
        <v/>
      </c>
      <c r="K649" s="391" t="str">
        <f t="shared" si="53"/>
        <v/>
      </c>
      <c r="O649" s="367" t="str">
        <v/>
      </c>
      <c r="S649" s="1" t="str">
        <v/>
      </c>
      <c r="AC649" s="367" t="str">
        <f t="shared" si="54"/>
        <v/>
      </c>
    </row>
    <row r="650" spans="1:29">
      <c r="A650" s="367" t="str">
        <v/>
      </c>
      <c r="H650" s="391" t="str">
        <f t="shared" si="50"/>
        <v/>
      </c>
      <c r="I650" s="391" t="str">
        <f t="shared" si="51"/>
        <v/>
      </c>
      <c r="J650" s="391" t="str">
        <f t="shared" si="52"/>
        <v/>
      </c>
      <c r="K650" s="391" t="str">
        <f t="shared" si="53"/>
        <v/>
      </c>
      <c r="O650" s="367" t="str">
        <v/>
      </c>
      <c r="S650" s="1" t="str">
        <v/>
      </c>
      <c r="AC650" s="367" t="str">
        <f t="shared" si="54"/>
        <v/>
      </c>
    </row>
    <row r="651" spans="1:29">
      <c r="A651" s="367" t="str">
        <v/>
      </c>
      <c r="H651" s="391" t="str">
        <f t="shared" si="50"/>
        <v/>
      </c>
      <c r="I651" s="391" t="str">
        <f t="shared" si="51"/>
        <v/>
      </c>
      <c r="J651" s="391" t="str">
        <f t="shared" si="52"/>
        <v/>
      </c>
      <c r="K651" s="391" t="str">
        <f t="shared" si="53"/>
        <v/>
      </c>
      <c r="O651" s="367" t="str">
        <v/>
      </c>
      <c r="S651" s="1" t="str">
        <v/>
      </c>
      <c r="AC651" s="367" t="str">
        <f t="shared" si="54"/>
        <v/>
      </c>
    </row>
    <row r="652" spans="1:29">
      <c r="A652" s="367" t="str">
        <v/>
      </c>
      <c r="H652" s="391" t="str">
        <f t="shared" si="50"/>
        <v/>
      </c>
      <c r="I652" s="391" t="str">
        <f t="shared" si="51"/>
        <v/>
      </c>
      <c r="J652" s="391" t="str">
        <f t="shared" si="52"/>
        <v/>
      </c>
      <c r="K652" s="391" t="str">
        <f t="shared" si="53"/>
        <v/>
      </c>
      <c r="O652" s="367" t="str">
        <v/>
      </c>
      <c r="S652" s="1" t="str">
        <v/>
      </c>
      <c r="AC652" s="367" t="str">
        <f t="shared" si="54"/>
        <v/>
      </c>
    </row>
    <row r="653" spans="1:29">
      <c r="A653" s="367" t="str">
        <v/>
      </c>
      <c r="H653" s="391" t="str">
        <f t="shared" si="50"/>
        <v/>
      </c>
      <c r="I653" s="391" t="str">
        <f t="shared" si="51"/>
        <v/>
      </c>
      <c r="J653" s="391" t="str">
        <f t="shared" si="52"/>
        <v/>
      </c>
      <c r="K653" s="391" t="str">
        <f t="shared" si="53"/>
        <v/>
      </c>
      <c r="O653" s="367" t="str">
        <v/>
      </c>
      <c r="S653" s="1" t="str">
        <v/>
      </c>
      <c r="AC653" s="367" t="str">
        <f t="shared" si="54"/>
        <v/>
      </c>
    </row>
    <row r="654" spans="1:29">
      <c r="A654" s="367" t="str">
        <v/>
      </c>
      <c r="H654" s="391" t="str">
        <f t="shared" si="50"/>
        <v/>
      </c>
      <c r="I654" s="391" t="str">
        <f t="shared" si="51"/>
        <v/>
      </c>
      <c r="J654" s="391" t="str">
        <f t="shared" si="52"/>
        <v/>
      </c>
      <c r="K654" s="391" t="str">
        <f t="shared" si="53"/>
        <v/>
      </c>
      <c r="O654" s="367" t="str">
        <v/>
      </c>
      <c r="S654" s="1" t="str">
        <v/>
      </c>
      <c r="AC654" s="367" t="str">
        <f t="shared" si="54"/>
        <v/>
      </c>
    </row>
    <row r="655" spans="1:29">
      <c r="A655" s="367" t="str">
        <v/>
      </c>
      <c r="H655" s="391" t="str">
        <f t="shared" si="50"/>
        <v/>
      </c>
      <c r="I655" s="391" t="str">
        <f t="shared" si="51"/>
        <v/>
      </c>
      <c r="J655" s="391" t="str">
        <f t="shared" si="52"/>
        <v/>
      </c>
      <c r="K655" s="391" t="str">
        <f t="shared" si="53"/>
        <v/>
      </c>
      <c r="O655" s="367" t="str">
        <v/>
      </c>
      <c r="S655" s="1" t="str">
        <v/>
      </c>
      <c r="AC655" s="367" t="str">
        <f t="shared" si="54"/>
        <v/>
      </c>
    </row>
    <row r="656" spans="1:29">
      <c r="A656" s="367" t="str">
        <v/>
      </c>
      <c r="H656" s="391" t="str">
        <f t="shared" si="50"/>
        <v/>
      </c>
      <c r="I656" s="391" t="str">
        <f t="shared" si="51"/>
        <v/>
      </c>
      <c r="J656" s="391" t="str">
        <f t="shared" si="52"/>
        <v/>
      </c>
      <c r="K656" s="391" t="str">
        <f t="shared" si="53"/>
        <v/>
      </c>
      <c r="O656" s="367" t="str">
        <v/>
      </c>
      <c r="S656" s="1" t="str">
        <v/>
      </c>
      <c r="AC656" s="367" t="str">
        <f t="shared" si="54"/>
        <v/>
      </c>
    </row>
    <row r="657" spans="1:29">
      <c r="A657" s="367" t="str">
        <v/>
      </c>
      <c r="H657" s="391" t="str">
        <f t="shared" si="50"/>
        <v/>
      </c>
      <c r="I657" s="391" t="str">
        <f t="shared" si="51"/>
        <v/>
      </c>
      <c r="J657" s="391" t="str">
        <f t="shared" si="52"/>
        <v/>
      </c>
      <c r="K657" s="391" t="str">
        <f t="shared" si="53"/>
        <v/>
      </c>
      <c r="O657" s="367" t="str">
        <v/>
      </c>
      <c r="S657" s="1" t="str">
        <v/>
      </c>
      <c r="AC657" s="367" t="str">
        <f t="shared" si="54"/>
        <v/>
      </c>
    </row>
    <row r="658" spans="1:29">
      <c r="A658" s="367" t="str">
        <v/>
      </c>
      <c r="H658" s="391" t="str">
        <f t="shared" si="50"/>
        <v/>
      </c>
      <c r="I658" s="391" t="str">
        <f t="shared" si="51"/>
        <v/>
      </c>
      <c r="J658" s="391" t="str">
        <f t="shared" si="52"/>
        <v/>
      </c>
      <c r="K658" s="391" t="str">
        <f t="shared" si="53"/>
        <v/>
      </c>
      <c r="O658" s="367" t="str">
        <v/>
      </c>
      <c r="S658" s="1" t="str">
        <v/>
      </c>
      <c r="AC658" s="367" t="str">
        <f t="shared" si="54"/>
        <v/>
      </c>
    </row>
    <row r="659" spans="1:29">
      <c r="A659" s="367" t="str">
        <v/>
      </c>
      <c r="H659" s="391" t="str">
        <f t="shared" si="50"/>
        <v/>
      </c>
      <c r="I659" s="391" t="str">
        <f t="shared" si="51"/>
        <v/>
      </c>
      <c r="J659" s="391" t="str">
        <f t="shared" si="52"/>
        <v/>
      </c>
      <c r="K659" s="391" t="str">
        <f t="shared" si="53"/>
        <v/>
      </c>
      <c r="O659" s="367" t="str">
        <v/>
      </c>
      <c r="S659" s="1" t="str">
        <v/>
      </c>
      <c r="AC659" s="367" t="str">
        <f t="shared" si="54"/>
        <v/>
      </c>
    </row>
    <row r="660" spans="1:29">
      <c r="A660" s="367" t="str">
        <v/>
      </c>
      <c r="H660" s="391" t="str">
        <f t="shared" si="50"/>
        <v/>
      </c>
      <c r="I660" s="391" t="str">
        <f t="shared" si="51"/>
        <v/>
      </c>
      <c r="J660" s="391" t="str">
        <f t="shared" si="52"/>
        <v/>
      </c>
      <c r="K660" s="391" t="str">
        <f t="shared" si="53"/>
        <v/>
      </c>
      <c r="O660" s="367" t="str">
        <v/>
      </c>
      <c r="S660" s="1" t="str">
        <v/>
      </c>
      <c r="AC660" s="367" t="str">
        <f t="shared" si="54"/>
        <v/>
      </c>
    </row>
    <row r="661" spans="1:29">
      <c r="A661" s="367" t="str">
        <v/>
      </c>
      <c r="H661" s="391" t="str">
        <f t="shared" si="50"/>
        <v/>
      </c>
      <c r="I661" s="391" t="str">
        <f t="shared" si="51"/>
        <v/>
      </c>
      <c r="J661" s="391" t="str">
        <f t="shared" si="52"/>
        <v/>
      </c>
      <c r="K661" s="391" t="str">
        <f t="shared" si="53"/>
        <v/>
      </c>
      <c r="O661" s="367" t="str">
        <v/>
      </c>
      <c r="S661" s="1" t="str">
        <v/>
      </c>
      <c r="AC661" s="367" t="str">
        <f t="shared" si="54"/>
        <v/>
      </c>
    </row>
    <row r="662" spans="1:29">
      <c r="A662" s="367" t="str">
        <v/>
      </c>
      <c r="H662" s="391" t="str">
        <f t="shared" si="50"/>
        <v/>
      </c>
      <c r="I662" s="391" t="str">
        <f t="shared" si="51"/>
        <v/>
      </c>
      <c r="J662" s="391" t="str">
        <f t="shared" si="52"/>
        <v/>
      </c>
      <c r="K662" s="391" t="str">
        <f t="shared" si="53"/>
        <v/>
      </c>
      <c r="O662" s="367" t="str">
        <v/>
      </c>
      <c r="S662" s="1" t="str">
        <v/>
      </c>
      <c r="AC662" s="367" t="str">
        <f t="shared" si="54"/>
        <v/>
      </c>
    </row>
    <row r="663" spans="1:29">
      <c r="A663" s="367" t="str">
        <v/>
      </c>
      <c r="H663" s="391" t="str">
        <f t="shared" ref="H663:H726" si="55">IF($C663="","",ROUND((($B$2*$F663*($B$5/1000))/$B$6)*(1+IF($B$18="",0,$B$18)),2))</f>
        <v/>
      </c>
      <c r="I663" s="391" t="str">
        <f t="shared" ref="I663:I726" si="56">IF($C663="","",ROUND((($B$3*$F663*($B$5/1000))/$B$6)*(1+IF($B$18="",0,$B$18)),2))</f>
        <v/>
      </c>
      <c r="J663" s="391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1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7" t="str">
        <v/>
      </c>
      <c r="S663" s="1" t="str">
        <v/>
      </c>
      <c r="AC663" s="367" t="str">
        <f t="shared" si="54"/>
        <v/>
      </c>
    </row>
    <row r="664" spans="1:29">
      <c r="A664" s="367" t="str">
        <v/>
      </c>
      <c r="H664" s="391" t="str">
        <f t="shared" si="55"/>
        <v/>
      </c>
      <c r="I664" s="391" t="str">
        <f t="shared" si="56"/>
        <v/>
      </c>
      <c r="J664" s="391" t="str">
        <f t="shared" si="57"/>
        <v/>
      </c>
      <c r="K664" s="391" t="str">
        <f t="shared" si="58"/>
        <v/>
      </c>
      <c r="O664" s="367" t="str">
        <v/>
      </c>
      <c r="S664" s="1" t="str">
        <v/>
      </c>
      <c r="AC664" s="367" t="str">
        <f t="shared" si="54"/>
        <v/>
      </c>
    </row>
    <row r="665" spans="1:29">
      <c r="A665" s="367" t="str">
        <v/>
      </c>
      <c r="H665" s="391" t="str">
        <f t="shared" si="55"/>
        <v/>
      </c>
      <c r="I665" s="391" t="str">
        <f t="shared" si="56"/>
        <v/>
      </c>
      <c r="J665" s="391" t="str">
        <f t="shared" si="57"/>
        <v/>
      </c>
      <c r="K665" s="391" t="str">
        <f t="shared" si="58"/>
        <v/>
      </c>
      <c r="O665" s="367" t="str">
        <v/>
      </c>
      <c r="S665" s="1" t="str">
        <v/>
      </c>
      <c r="AC665" s="367" t="str">
        <f t="shared" si="54"/>
        <v/>
      </c>
    </row>
    <row r="666" spans="1:29">
      <c r="A666" s="367" t="str">
        <v/>
      </c>
      <c r="H666" s="391" t="str">
        <f t="shared" si="55"/>
        <v/>
      </c>
      <c r="I666" s="391" t="str">
        <f t="shared" si="56"/>
        <v/>
      </c>
      <c r="J666" s="391" t="str">
        <f t="shared" si="57"/>
        <v/>
      </c>
      <c r="K666" s="391" t="str">
        <f t="shared" si="58"/>
        <v/>
      </c>
      <c r="O666" s="367" t="str">
        <v/>
      </c>
      <c r="S666" s="1" t="str">
        <v/>
      </c>
      <c r="AC666" s="367" t="str">
        <f t="shared" si="54"/>
        <v/>
      </c>
    </row>
    <row r="667" spans="1:29">
      <c r="A667" s="367" t="str">
        <v/>
      </c>
      <c r="H667" s="391" t="str">
        <f t="shared" si="55"/>
        <v/>
      </c>
      <c r="I667" s="391" t="str">
        <f t="shared" si="56"/>
        <v/>
      </c>
      <c r="J667" s="391" t="str">
        <f t="shared" si="57"/>
        <v/>
      </c>
      <c r="K667" s="391" t="str">
        <f t="shared" si="58"/>
        <v/>
      </c>
      <c r="O667" s="367" t="str">
        <v/>
      </c>
      <c r="S667" s="1" t="str">
        <v/>
      </c>
      <c r="AC667" s="367" t="str">
        <f t="shared" si="54"/>
        <v/>
      </c>
    </row>
    <row r="668" spans="1:29">
      <c r="A668" s="367" t="str">
        <v/>
      </c>
      <c r="H668" s="391" t="str">
        <f t="shared" si="55"/>
        <v/>
      </c>
      <c r="I668" s="391" t="str">
        <f t="shared" si="56"/>
        <v/>
      </c>
      <c r="J668" s="391" t="str">
        <f t="shared" si="57"/>
        <v/>
      </c>
      <c r="K668" s="391" t="str">
        <f t="shared" si="58"/>
        <v/>
      </c>
      <c r="O668" s="367" t="str">
        <v/>
      </c>
      <c r="S668" s="1" t="str">
        <v/>
      </c>
      <c r="AC668" s="367" t="str">
        <f t="shared" si="54"/>
        <v/>
      </c>
    </row>
    <row r="669" spans="1:29">
      <c r="A669" s="367" t="str">
        <v/>
      </c>
      <c r="H669" s="391" t="str">
        <f t="shared" si="55"/>
        <v/>
      </c>
      <c r="I669" s="391" t="str">
        <f t="shared" si="56"/>
        <v/>
      </c>
      <c r="J669" s="391" t="str">
        <f t="shared" si="57"/>
        <v/>
      </c>
      <c r="K669" s="391" t="str">
        <f t="shared" si="58"/>
        <v/>
      </c>
      <c r="O669" s="367" t="str">
        <v/>
      </c>
      <c r="S669" s="1" t="str">
        <v/>
      </c>
      <c r="AC669" s="367" t="str">
        <f t="shared" si="54"/>
        <v/>
      </c>
    </row>
    <row r="670" spans="1:29">
      <c r="A670" s="367" t="str">
        <v/>
      </c>
      <c r="H670" s="391" t="str">
        <f t="shared" si="55"/>
        <v/>
      </c>
      <c r="I670" s="391" t="str">
        <f t="shared" si="56"/>
        <v/>
      </c>
      <c r="J670" s="391" t="str">
        <f t="shared" si="57"/>
        <v/>
      </c>
      <c r="K670" s="391" t="str">
        <f t="shared" si="58"/>
        <v/>
      </c>
      <c r="O670" s="367" t="str">
        <v/>
      </c>
      <c r="S670" s="1" t="str">
        <v/>
      </c>
      <c r="AC670" s="367" t="str">
        <f t="shared" si="54"/>
        <v/>
      </c>
    </row>
    <row r="671" spans="1:29">
      <c r="A671" s="367" t="str">
        <v/>
      </c>
      <c r="H671" s="391" t="str">
        <f t="shared" si="55"/>
        <v/>
      </c>
      <c r="I671" s="391" t="str">
        <f t="shared" si="56"/>
        <v/>
      </c>
      <c r="J671" s="391" t="str">
        <f t="shared" si="57"/>
        <v/>
      </c>
      <c r="K671" s="391" t="str">
        <f t="shared" si="58"/>
        <v/>
      </c>
      <c r="O671" s="367" t="str">
        <v/>
      </c>
      <c r="S671" s="1" t="str">
        <v/>
      </c>
      <c r="AC671" s="367" t="str">
        <f t="shared" si="54"/>
        <v/>
      </c>
    </row>
    <row r="672" spans="1:29">
      <c r="A672" s="367" t="str">
        <v/>
      </c>
      <c r="H672" s="391" t="str">
        <f t="shared" si="55"/>
        <v/>
      </c>
      <c r="I672" s="391" t="str">
        <f t="shared" si="56"/>
        <v/>
      </c>
      <c r="J672" s="391" t="str">
        <f t="shared" si="57"/>
        <v/>
      </c>
      <c r="K672" s="391" t="str">
        <f t="shared" si="58"/>
        <v/>
      </c>
      <c r="O672" s="367" t="str">
        <v/>
      </c>
      <c r="S672" s="1" t="str">
        <v/>
      </c>
      <c r="AC672" s="367" t="str">
        <f t="shared" si="54"/>
        <v/>
      </c>
    </row>
    <row r="673" spans="1:29">
      <c r="A673" s="367" t="str">
        <v/>
      </c>
      <c r="H673" s="391" t="str">
        <f t="shared" si="55"/>
        <v/>
      </c>
      <c r="I673" s="391" t="str">
        <f t="shared" si="56"/>
        <v/>
      </c>
      <c r="J673" s="391" t="str">
        <f t="shared" si="57"/>
        <v/>
      </c>
      <c r="K673" s="391" t="str">
        <f t="shared" si="58"/>
        <v/>
      </c>
      <c r="O673" s="367" t="str">
        <v/>
      </c>
      <c r="S673" s="1" t="str">
        <v/>
      </c>
      <c r="AC673" s="367" t="str">
        <f t="shared" si="54"/>
        <v/>
      </c>
    </row>
    <row r="674" spans="1:29">
      <c r="A674" s="367" t="str">
        <v/>
      </c>
      <c r="H674" s="391" t="str">
        <f t="shared" si="55"/>
        <v/>
      </c>
      <c r="I674" s="391" t="str">
        <f t="shared" si="56"/>
        <v/>
      </c>
      <c r="J674" s="391" t="str">
        <f t="shared" si="57"/>
        <v/>
      </c>
      <c r="K674" s="391" t="str">
        <f t="shared" si="58"/>
        <v/>
      </c>
      <c r="O674" s="367" t="str">
        <v/>
      </c>
      <c r="S674" s="1" t="str">
        <v/>
      </c>
      <c r="AC674" s="367" t="str">
        <f t="shared" si="54"/>
        <v/>
      </c>
    </row>
    <row r="675" spans="1:29">
      <c r="A675" s="367" t="str">
        <v/>
      </c>
      <c r="H675" s="391" t="str">
        <f t="shared" si="55"/>
        <v/>
      </c>
      <c r="I675" s="391" t="str">
        <f t="shared" si="56"/>
        <v/>
      </c>
      <c r="J675" s="391" t="str">
        <f t="shared" si="57"/>
        <v/>
      </c>
      <c r="K675" s="391" t="str">
        <f t="shared" si="58"/>
        <v/>
      </c>
      <c r="O675" s="367" t="str">
        <v/>
      </c>
      <c r="S675" s="1" t="str">
        <v/>
      </c>
      <c r="AC675" s="367" t="str">
        <f t="shared" si="54"/>
        <v/>
      </c>
    </row>
    <row r="676" spans="1:29">
      <c r="A676" s="367" t="str">
        <v/>
      </c>
      <c r="H676" s="391" t="str">
        <f t="shared" si="55"/>
        <v/>
      </c>
      <c r="I676" s="391" t="str">
        <f t="shared" si="56"/>
        <v/>
      </c>
      <c r="J676" s="391" t="str">
        <f t="shared" si="57"/>
        <v/>
      </c>
      <c r="K676" s="391" t="str">
        <f t="shared" si="58"/>
        <v/>
      </c>
      <c r="O676" s="367" t="str">
        <v/>
      </c>
      <c r="S676" s="1" t="str">
        <v/>
      </c>
      <c r="AC676" s="367" t="str">
        <f t="shared" si="54"/>
        <v/>
      </c>
    </row>
    <row r="677" spans="1:29">
      <c r="A677" s="367" t="str">
        <v/>
      </c>
      <c r="H677" s="391" t="str">
        <f t="shared" si="55"/>
        <v/>
      </c>
      <c r="I677" s="391" t="str">
        <f t="shared" si="56"/>
        <v/>
      </c>
      <c r="J677" s="391" t="str">
        <f t="shared" si="57"/>
        <v/>
      </c>
      <c r="K677" s="391" t="str">
        <f t="shared" si="58"/>
        <v/>
      </c>
      <c r="O677" s="367" t="str">
        <v/>
      </c>
      <c r="S677" s="1" t="str">
        <v/>
      </c>
      <c r="AC677" s="367" t="str">
        <f t="shared" si="54"/>
        <v/>
      </c>
    </row>
    <row r="678" spans="1:29">
      <c r="A678" s="367" t="str">
        <v/>
      </c>
      <c r="H678" s="391" t="str">
        <f t="shared" si="55"/>
        <v/>
      </c>
      <c r="I678" s="391" t="str">
        <f t="shared" si="56"/>
        <v/>
      </c>
      <c r="J678" s="391" t="str">
        <f t="shared" si="57"/>
        <v/>
      </c>
      <c r="K678" s="391" t="str">
        <f t="shared" si="58"/>
        <v/>
      </c>
      <c r="O678" s="367" t="str">
        <v/>
      </c>
      <c r="S678" s="1" t="str">
        <v/>
      </c>
      <c r="AC678" s="367" t="str">
        <f t="shared" si="54"/>
        <v/>
      </c>
    </row>
    <row r="679" spans="1:29">
      <c r="A679" s="367" t="str">
        <v/>
      </c>
      <c r="H679" s="391" t="str">
        <f t="shared" si="55"/>
        <v/>
      </c>
      <c r="I679" s="391" t="str">
        <f t="shared" si="56"/>
        <v/>
      </c>
      <c r="J679" s="391" t="str">
        <f t="shared" si="57"/>
        <v/>
      </c>
      <c r="K679" s="391" t="str">
        <f t="shared" si="58"/>
        <v/>
      </c>
      <c r="O679" s="367" t="str">
        <v/>
      </c>
      <c r="S679" s="1" t="str">
        <v/>
      </c>
      <c r="AC679" s="367" t="str">
        <f t="shared" si="54"/>
        <v/>
      </c>
    </row>
    <row r="680" spans="1:29">
      <c r="A680" s="367" t="str">
        <v/>
      </c>
      <c r="H680" s="391" t="str">
        <f t="shared" si="55"/>
        <v/>
      </c>
      <c r="I680" s="391" t="str">
        <f t="shared" si="56"/>
        <v/>
      </c>
      <c r="J680" s="391" t="str">
        <f t="shared" si="57"/>
        <v/>
      </c>
      <c r="K680" s="391" t="str">
        <f t="shared" si="58"/>
        <v/>
      </c>
      <c r="O680" s="367" t="str">
        <v/>
      </c>
      <c r="S680" s="1" t="str">
        <v/>
      </c>
      <c r="AC680" s="367" t="str">
        <f t="shared" si="54"/>
        <v/>
      </c>
    </row>
    <row r="681" spans="1:29">
      <c r="A681" s="367" t="str">
        <v/>
      </c>
      <c r="H681" s="391" t="str">
        <f t="shared" si="55"/>
        <v/>
      </c>
      <c r="I681" s="391" t="str">
        <f t="shared" si="56"/>
        <v/>
      </c>
      <c r="J681" s="391" t="str">
        <f t="shared" si="57"/>
        <v/>
      </c>
      <c r="K681" s="391" t="str">
        <f t="shared" si="58"/>
        <v/>
      </c>
      <c r="O681" s="367" t="str">
        <v/>
      </c>
      <c r="S681" s="1" t="str">
        <v/>
      </c>
      <c r="AC681" s="367" t="str">
        <f t="shared" si="54"/>
        <v/>
      </c>
    </row>
    <row r="682" spans="1:29">
      <c r="A682" s="367" t="str">
        <v/>
      </c>
      <c r="H682" s="391" t="str">
        <f t="shared" si="55"/>
        <v/>
      </c>
      <c r="I682" s="391" t="str">
        <f t="shared" si="56"/>
        <v/>
      </c>
      <c r="J682" s="391" t="str">
        <f t="shared" si="57"/>
        <v/>
      </c>
      <c r="K682" s="391" t="str">
        <f t="shared" si="58"/>
        <v/>
      </c>
      <c r="O682" s="367" t="str">
        <v/>
      </c>
      <c r="S682" s="1" t="str">
        <v/>
      </c>
      <c r="AC682" s="367" t="str">
        <f t="shared" si="54"/>
        <v/>
      </c>
    </row>
    <row r="683" spans="1:29">
      <c r="A683" s="367" t="str">
        <v/>
      </c>
      <c r="H683" s="391" t="str">
        <f t="shared" si="55"/>
        <v/>
      </c>
      <c r="I683" s="391" t="str">
        <f t="shared" si="56"/>
        <v/>
      </c>
      <c r="J683" s="391" t="str">
        <f t="shared" si="57"/>
        <v/>
      </c>
      <c r="K683" s="391" t="str">
        <f t="shared" si="58"/>
        <v/>
      </c>
      <c r="O683" s="367" t="str">
        <v/>
      </c>
      <c r="S683" s="1" t="str">
        <v/>
      </c>
      <c r="AC683" s="367" t="str">
        <f t="shared" si="54"/>
        <v/>
      </c>
    </row>
    <row r="684" spans="1:29">
      <c r="A684" s="367" t="str">
        <v/>
      </c>
      <c r="H684" s="391" t="str">
        <f t="shared" si="55"/>
        <v/>
      </c>
      <c r="I684" s="391" t="str">
        <f t="shared" si="56"/>
        <v/>
      </c>
      <c r="J684" s="391" t="str">
        <f t="shared" si="57"/>
        <v/>
      </c>
      <c r="K684" s="391" t="str">
        <f t="shared" si="58"/>
        <v/>
      </c>
      <c r="O684" s="367" t="str">
        <v/>
      </c>
      <c r="S684" s="1" t="str">
        <v/>
      </c>
      <c r="AC684" s="367" t="str">
        <f t="shared" si="54"/>
        <v/>
      </c>
    </row>
    <row r="685" spans="1:29">
      <c r="A685" s="367" t="str">
        <v/>
      </c>
      <c r="H685" s="391" t="str">
        <f t="shared" si="55"/>
        <v/>
      </c>
      <c r="I685" s="391" t="str">
        <f t="shared" si="56"/>
        <v/>
      </c>
      <c r="J685" s="391" t="str">
        <f t="shared" si="57"/>
        <v/>
      </c>
      <c r="K685" s="391" t="str">
        <f t="shared" si="58"/>
        <v/>
      </c>
      <c r="O685" s="367" t="str">
        <v/>
      </c>
      <c r="S685" s="1" t="str">
        <v/>
      </c>
      <c r="AC685" s="367" t="str">
        <f t="shared" si="54"/>
        <v/>
      </c>
    </row>
    <row r="686" spans="1:29">
      <c r="A686" s="367" t="str">
        <v/>
      </c>
      <c r="H686" s="391" t="str">
        <f t="shared" si="55"/>
        <v/>
      </c>
      <c r="I686" s="391" t="str">
        <f t="shared" si="56"/>
        <v/>
      </c>
      <c r="J686" s="391" t="str">
        <f t="shared" si="57"/>
        <v/>
      </c>
      <c r="K686" s="391" t="str">
        <f t="shared" si="58"/>
        <v/>
      </c>
      <c r="O686" s="367" t="str">
        <v/>
      </c>
      <c r="S686" s="1" t="str">
        <v/>
      </c>
      <c r="AC686" s="367" t="str">
        <f t="shared" si="54"/>
        <v/>
      </c>
    </row>
    <row r="687" spans="1:29">
      <c r="A687" s="367" t="str">
        <v/>
      </c>
      <c r="H687" s="391" t="str">
        <f t="shared" si="55"/>
        <v/>
      </c>
      <c r="I687" s="391" t="str">
        <f t="shared" si="56"/>
        <v/>
      </c>
      <c r="J687" s="391" t="str">
        <f t="shared" si="57"/>
        <v/>
      </c>
      <c r="K687" s="391" t="str">
        <f t="shared" si="58"/>
        <v/>
      </c>
      <c r="O687" s="367" t="str">
        <v/>
      </c>
      <c r="S687" s="1" t="str">
        <v/>
      </c>
      <c r="AC687" s="367" t="str">
        <f t="shared" si="54"/>
        <v/>
      </c>
    </row>
    <row r="688" spans="1:29">
      <c r="A688" s="367" t="str">
        <v/>
      </c>
      <c r="H688" s="391" t="str">
        <f t="shared" si="55"/>
        <v/>
      </c>
      <c r="I688" s="391" t="str">
        <f t="shared" si="56"/>
        <v/>
      </c>
      <c r="J688" s="391" t="str">
        <f t="shared" si="57"/>
        <v/>
      </c>
      <c r="K688" s="391" t="str">
        <f t="shared" si="58"/>
        <v/>
      </c>
      <c r="O688" s="367" t="str">
        <v/>
      </c>
      <c r="S688" s="1" t="str">
        <v/>
      </c>
      <c r="AC688" s="367" t="str">
        <f t="shared" ref="AC688:AC751" si="59">IF($AB688&lt;&gt;"",$AB688,IFERROR(ROUNDUP($Z688/$Y688,1),""))</f>
        <v/>
      </c>
    </row>
    <row r="689" spans="1:29">
      <c r="A689" s="367" t="str">
        <v/>
      </c>
      <c r="H689" s="391" t="str">
        <f t="shared" si="55"/>
        <v/>
      </c>
      <c r="I689" s="391" t="str">
        <f t="shared" si="56"/>
        <v/>
      </c>
      <c r="J689" s="391" t="str">
        <f t="shared" si="57"/>
        <v/>
      </c>
      <c r="K689" s="391" t="str">
        <f t="shared" si="58"/>
        <v/>
      </c>
      <c r="O689" s="367" t="str">
        <v/>
      </c>
      <c r="S689" s="1" t="str">
        <v/>
      </c>
      <c r="AC689" s="367" t="str">
        <f t="shared" si="59"/>
        <v/>
      </c>
    </row>
    <row r="690" spans="1:29">
      <c r="A690" s="367" t="str">
        <v/>
      </c>
      <c r="H690" s="391" t="str">
        <f t="shared" si="55"/>
        <v/>
      </c>
      <c r="I690" s="391" t="str">
        <f t="shared" si="56"/>
        <v/>
      </c>
      <c r="J690" s="391" t="str">
        <f t="shared" si="57"/>
        <v/>
      </c>
      <c r="K690" s="391" t="str">
        <f t="shared" si="58"/>
        <v/>
      </c>
      <c r="O690" s="367" t="str">
        <v/>
      </c>
      <c r="S690" s="1" t="str">
        <v/>
      </c>
      <c r="AC690" s="367" t="str">
        <f t="shared" si="59"/>
        <v/>
      </c>
    </row>
    <row r="691" spans="1:29">
      <c r="A691" s="367" t="str">
        <v/>
      </c>
      <c r="H691" s="391" t="str">
        <f t="shared" si="55"/>
        <v/>
      </c>
      <c r="I691" s="391" t="str">
        <f t="shared" si="56"/>
        <v/>
      </c>
      <c r="J691" s="391" t="str">
        <f t="shared" si="57"/>
        <v/>
      </c>
      <c r="K691" s="391" t="str">
        <f t="shared" si="58"/>
        <v/>
      </c>
      <c r="O691" s="367" t="str">
        <v/>
      </c>
      <c r="S691" s="1" t="str">
        <v/>
      </c>
      <c r="AC691" s="367" t="str">
        <f t="shared" si="59"/>
        <v/>
      </c>
    </row>
    <row r="692" spans="1:29">
      <c r="A692" s="367" t="str">
        <v/>
      </c>
      <c r="H692" s="391" t="str">
        <f t="shared" si="55"/>
        <v/>
      </c>
      <c r="I692" s="391" t="str">
        <f t="shared" si="56"/>
        <v/>
      </c>
      <c r="J692" s="391" t="str">
        <f t="shared" si="57"/>
        <v/>
      </c>
      <c r="K692" s="391" t="str">
        <f t="shared" si="58"/>
        <v/>
      </c>
      <c r="O692" s="367" t="str">
        <v/>
      </c>
      <c r="S692" s="1" t="str">
        <v/>
      </c>
      <c r="AC692" s="367" t="str">
        <f t="shared" si="59"/>
        <v/>
      </c>
    </row>
    <row r="693" spans="1:29">
      <c r="A693" s="367" t="str">
        <v/>
      </c>
      <c r="H693" s="391" t="str">
        <f t="shared" si="55"/>
        <v/>
      </c>
      <c r="I693" s="391" t="str">
        <f t="shared" si="56"/>
        <v/>
      </c>
      <c r="J693" s="391" t="str">
        <f t="shared" si="57"/>
        <v/>
      </c>
      <c r="K693" s="391" t="str">
        <f t="shared" si="58"/>
        <v/>
      </c>
      <c r="O693" s="367" t="str">
        <v/>
      </c>
      <c r="S693" s="1" t="str">
        <v/>
      </c>
      <c r="AC693" s="367" t="str">
        <f t="shared" si="59"/>
        <v/>
      </c>
    </row>
    <row r="694" spans="1:29">
      <c r="A694" s="367" t="str">
        <v/>
      </c>
      <c r="H694" s="391" t="str">
        <f t="shared" si="55"/>
        <v/>
      </c>
      <c r="I694" s="391" t="str">
        <f t="shared" si="56"/>
        <v/>
      </c>
      <c r="J694" s="391" t="str">
        <f t="shared" si="57"/>
        <v/>
      </c>
      <c r="K694" s="391" t="str">
        <f t="shared" si="58"/>
        <v/>
      </c>
      <c r="O694" s="367" t="str">
        <v/>
      </c>
      <c r="S694" s="1" t="str">
        <v/>
      </c>
      <c r="AC694" s="367" t="str">
        <f t="shared" si="59"/>
        <v/>
      </c>
    </row>
    <row r="695" spans="1:29">
      <c r="A695" s="367" t="str">
        <v/>
      </c>
      <c r="H695" s="391" t="str">
        <f t="shared" si="55"/>
        <v/>
      </c>
      <c r="I695" s="391" t="str">
        <f t="shared" si="56"/>
        <v/>
      </c>
      <c r="J695" s="391" t="str">
        <f t="shared" si="57"/>
        <v/>
      </c>
      <c r="K695" s="391" t="str">
        <f t="shared" si="58"/>
        <v/>
      </c>
      <c r="O695" s="367" t="str">
        <v/>
      </c>
      <c r="S695" s="1" t="str">
        <v/>
      </c>
      <c r="AC695" s="367" t="str">
        <f t="shared" si="59"/>
        <v/>
      </c>
    </row>
    <row r="696" spans="1:29">
      <c r="A696" s="367" t="str">
        <v/>
      </c>
      <c r="H696" s="391" t="str">
        <f t="shared" si="55"/>
        <v/>
      </c>
      <c r="I696" s="391" t="str">
        <f t="shared" si="56"/>
        <v/>
      </c>
      <c r="J696" s="391" t="str">
        <f t="shared" si="57"/>
        <v/>
      </c>
      <c r="K696" s="391" t="str">
        <f t="shared" si="58"/>
        <v/>
      </c>
      <c r="O696" s="367" t="str">
        <v/>
      </c>
      <c r="S696" s="1" t="str">
        <v/>
      </c>
      <c r="AC696" s="367" t="str">
        <f t="shared" si="59"/>
        <v/>
      </c>
    </row>
    <row r="697" spans="1:29">
      <c r="A697" s="367" t="str">
        <v/>
      </c>
      <c r="H697" s="391" t="str">
        <f t="shared" si="55"/>
        <v/>
      </c>
      <c r="I697" s="391" t="str">
        <f t="shared" si="56"/>
        <v/>
      </c>
      <c r="J697" s="391" t="str">
        <f t="shared" si="57"/>
        <v/>
      </c>
      <c r="K697" s="391" t="str">
        <f t="shared" si="58"/>
        <v/>
      </c>
      <c r="O697" s="367" t="str">
        <v/>
      </c>
      <c r="S697" s="1" t="str">
        <v/>
      </c>
      <c r="AC697" s="367" t="str">
        <f t="shared" si="59"/>
        <v/>
      </c>
    </row>
    <row r="698" spans="1:29">
      <c r="A698" s="367" t="str">
        <v/>
      </c>
      <c r="H698" s="391" t="str">
        <f t="shared" si="55"/>
        <v/>
      </c>
      <c r="I698" s="391" t="str">
        <f t="shared" si="56"/>
        <v/>
      </c>
      <c r="J698" s="391" t="str">
        <f t="shared" si="57"/>
        <v/>
      </c>
      <c r="K698" s="391" t="str">
        <f t="shared" si="58"/>
        <v/>
      </c>
      <c r="O698" s="367" t="str">
        <v/>
      </c>
      <c r="S698" s="1" t="str">
        <v/>
      </c>
      <c r="AC698" s="367" t="str">
        <f t="shared" si="59"/>
        <v/>
      </c>
    </row>
    <row r="699" spans="1:29">
      <c r="A699" s="367" t="str">
        <v/>
      </c>
      <c r="H699" s="391" t="str">
        <f t="shared" si="55"/>
        <v/>
      </c>
      <c r="I699" s="391" t="str">
        <f t="shared" si="56"/>
        <v/>
      </c>
      <c r="J699" s="391" t="str">
        <f t="shared" si="57"/>
        <v/>
      </c>
      <c r="K699" s="391" t="str">
        <f t="shared" si="58"/>
        <v/>
      </c>
      <c r="O699" s="367" t="str">
        <v/>
      </c>
      <c r="S699" s="1" t="str">
        <v/>
      </c>
      <c r="AC699" s="367" t="str">
        <f t="shared" si="59"/>
        <v/>
      </c>
    </row>
    <row r="700" spans="1:29">
      <c r="A700" s="367" t="str">
        <v/>
      </c>
      <c r="H700" s="391" t="str">
        <f t="shared" si="55"/>
        <v/>
      </c>
      <c r="I700" s="391" t="str">
        <f t="shared" si="56"/>
        <v/>
      </c>
      <c r="J700" s="391" t="str">
        <f t="shared" si="57"/>
        <v/>
      </c>
      <c r="K700" s="391" t="str">
        <f t="shared" si="58"/>
        <v/>
      </c>
      <c r="O700" s="367" t="str">
        <v/>
      </c>
      <c r="S700" s="1" t="str">
        <v/>
      </c>
      <c r="AC700" s="367" t="str">
        <f t="shared" si="59"/>
        <v/>
      </c>
    </row>
    <row r="701" spans="1:29">
      <c r="A701" s="367" t="str">
        <v/>
      </c>
      <c r="H701" s="391" t="str">
        <f t="shared" si="55"/>
        <v/>
      </c>
      <c r="I701" s="391" t="str">
        <f t="shared" si="56"/>
        <v/>
      </c>
      <c r="J701" s="391" t="str">
        <f t="shared" si="57"/>
        <v/>
      </c>
      <c r="K701" s="391" t="str">
        <f t="shared" si="58"/>
        <v/>
      </c>
      <c r="O701" s="367" t="str">
        <v/>
      </c>
      <c r="S701" s="1" t="str">
        <v/>
      </c>
      <c r="AC701" s="367" t="str">
        <f t="shared" si="59"/>
        <v/>
      </c>
    </row>
    <row r="702" spans="1:29">
      <c r="A702" s="367" t="str">
        <v/>
      </c>
      <c r="H702" s="391" t="str">
        <f t="shared" si="55"/>
        <v/>
      </c>
      <c r="I702" s="391" t="str">
        <f t="shared" si="56"/>
        <v/>
      </c>
      <c r="J702" s="391" t="str">
        <f t="shared" si="57"/>
        <v/>
      </c>
      <c r="K702" s="391" t="str">
        <f t="shared" si="58"/>
        <v/>
      </c>
      <c r="O702" s="367" t="str">
        <v/>
      </c>
      <c r="S702" s="1" t="str">
        <v/>
      </c>
      <c r="AC702" s="367" t="str">
        <f t="shared" si="59"/>
        <v/>
      </c>
    </row>
    <row r="703" spans="1:29">
      <c r="A703" s="367" t="str">
        <v/>
      </c>
      <c r="H703" s="391" t="str">
        <f t="shared" si="55"/>
        <v/>
      </c>
      <c r="I703" s="391" t="str">
        <f t="shared" si="56"/>
        <v/>
      </c>
      <c r="J703" s="391" t="str">
        <f t="shared" si="57"/>
        <v/>
      </c>
      <c r="K703" s="391" t="str">
        <f t="shared" si="58"/>
        <v/>
      </c>
      <c r="O703" s="367" t="str">
        <v/>
      </c>
      <c r="S703" s="1" t="str">
        <v/>
      </c>
      <c r="AC703" s="367" t="str">
        <f t="shared" si="59"/>
        <v/>
      </c>
    </row>
    <row r="704" spans="1:29">
      <c r="A704" s="367" t="str">
        <v/>
      </c>
      <c r="H704" s="391" t="str">
        <f t="shared" si="55"/>
        <v/>
      </c>
      <c r="I704" s="391" t="str">
        <f t="shared" si="56"/>
        <v/>
      </c>
      <c r="J704" s="391" t="str">
        <f t="shared" si="57"/>
        <v/>
      </c>
      <c r="K704" s="391" t="str">
        <f t="shared" si="58"/>
        <v/>
      </c>
      <c r="O704" s="367" t="str">
        <v/>
      </c>
      <c r="S704" s="1" t="str">
        <v/>
      </c>
      <c r="AC704" s="367" t="str">
        <f t="shared" si="59"/>
        <v/>
      </c>
    </row>
    <row r="705" spans="1:29">
      <c r="A705" s="367" t="str">
        <v/>
      </c>
      <c r="H705" s="391" t="str">
        <f t="shared" si="55"/>
        <v/>
      </c>
      <c r="I705" s="391" t="str">
        <f t="shared" si="56"/>
        <v/>
      </c>
      <c r="J705" s="391" t="str">
        <f t="shared" si="57"/>
        <v/>
      </c>
      <c r="K705" s="391" t="str">
        <f t="shared" si="58"/>
        <v/>
      </c>
      <c r="O705" s="367" t="str">
        <v/>
      </c>
      <c r="S705" s="1" t="str">
        <v/>
      </c>
      <c r="AC705" s="367" t="str">
        <f t="shared" si="59"/>
        <v/>
      </c>
    </row>
    <row r="706" spans="1:29">
      <c r="A706" s="367" t="str">
        <v/>
      </c>
      <c r="H706" s="391" t="str">
        <f t="shared" si="55"/>
        <v/>
      </c>
      <c r="I706" s="391" t="str">
        <f t="shared" si="56"/>
        <v/>
      </c>
      <c r="J706" s="391" t="str">
        <f t="shared" si="57"/>
        <v/>
      </c>
      <c r="K706" s="391" t="str">
        <f t="shared" si="58"/>
        <v/>
      </c>
      <c r="O706" s="367" t="str">
        <v/>
      </c>
      <c r="S706" s="1" t="str">
        <v/>
      </c>
      <c r="AC706" s="367" t="str">
        <f t="shared" si="59"/>
        <v/>
      </c>
    </row>
    <row r="707" spans="1:29">
      <c r="A707" s="367" t="str">
        <v/>
      </c>
      <c r="H707" s="391" t="str">
        <f t="shared" si="55"/>
        <v/>
      </c>
      <c r="I707" s="391" t="str">
        <f t="shared" si="56"/>
        <v/>
      </c>
      <c r="J707" s="391" t="str">
        <f t="shared" si="57"/>
        <v/>
      </c>
      <c r="K707" s="391" t="str">
        <f t="shared" si="58"/>
        <v/>
      </c>
      <c r="O707" s="367" t="str">
        <v/>
      </c>
      <c r="S707" s="1" t="str">
        <v/>
      </c>
      <c r="AC707" s="367" t="str">
        <f t="shared" si="59"/>
        <v/>
      </c>
    </row>
    <row r="708" spans="1:29">
      <c r="A708" s="367" t="str">
        <v/>
      </c>
      <c r="H708" s="391" t="str">
        <f t="shared" si="55"/>
        <v/>
      </c>
      <c r="I708" s="391" t="str">
        <f t="shared" si="56"/>
        <v/>
      </c>
      <c r="J708" s="391" t="str">
        <f t="shared" si="57"/>
        <v/>
      </c>
      <c r="K708" s="391" t="str">
        <f t="shared" si="58"/>
        <v/>
      </c>
      <c r="O708" s="367" t="str">
        <v/>
      </c>
      <c r="S708" s="1" t="str">
        <v/>
      </c>
      <c r="AC708" s="367" t="str">
        <f t="shared" si="59"/>
        <v/>
      </c>
    </row>
    <row r="709" spans="1:29">
      <c r="A709" s="367" t="str">
        <v/>
      </c>
      <c r="H709" s="391" t="str">
        <f t="shared" si="55"/>
        <v/>
      </c>
      <c r="I709" s="391" t="str">
        <f t="shared" si="56"/>
        <v/>
      </c>
      <c r="J709" s="391" t="str">
        <f t="shared" si="57"/>
        <v/>
      </c>
      <c r="K709" s="391" t="str">
        <f t="shared" si="58"/>
        <v/>
      </c>
      <c r="O709" s="367" t="str">
        <v/>
      </c>
      <c r="S709" s="1" t="str">
        <v/>
      </c>
      <c r="AC709" s="367" t="str">
        <f t="shared" si="59"/>
        <v/>
      </c>
    </row>
    <row r="710" spans="1:29">
      <c r="A710" s="367" t="str">
        <v/>
      </c>
      <c r="H710" s="391" t="str">
        <f t="shared" si="55"/>
        <v/>
      </c>
      <c r="I710" s="391" t="str">
        <f t="shared" si="56"/>
        <v/>
      </c>
      <c r="J710" s="391" t="str">
        <f t="shared" si="57"/>
        <v/>
      </c>
      <c r="K710" s="391" t="str">
        <f t="shared" si="58"/>
        <v/>
      </c>
      <c r="O710" s="367" t="str">
        <v/>
      </c>
      <c r="S710" s="1" t="str">
        <v/>
      </c>
      <c r="AC710" s="367" t="str">
        <f t="shared" si="59"/>
        <v/>
      </c>
    </row>
    <row r="711" spans="1:29">
      <c r="A711" s="367" t="str">
        <v/>
      </c>
      <c r="H711" s="391" t="str">
        <f t="shared" si="55"/>
        <v/>
      </c>
      <c r="I711" s="391" t="str">
        <f t="shared" si="56"/>
        <v/>
      </c>
      <c r="J711" s="391" t="str">
        <f t="shared" si="57"/>
        <v/>
      </c>
      <c r="K711" s="391" t="str">
        <f t="shared" si="58"/>
        <v/>
      </c>
      <c r="O711" s="367" t="str">
        <v/>
      </c>
      <c r="S711" s="1" t="str">
        <v/>
      </c>
      <c r="AC711" s="367" t="str">
        <f t="shared" si="59"/>
        <v/>
      </c>
    </row>
    <row r="712" spans="1:29">
      <c r="A712" s="367" t="str">
        <v/>
      </c>
      <c r="H712" s="391" t="str">
        <f t="shared" si="55"/>
        <v/>
      </c>
      <c r="I712" s="391" t="str">
        <f t="shared" si="56"/>
        <v/>
      </c>
      <c r="J712" s="391" t="str">
        <f t="shared" si="57"/>
        <v/>
      </c>
      <c r="K712" s="391" t="str">
        <f t="shared" si="58"/>
        <v/>
      </c>
      <c r="O712" s="367" t="str">
        <v/>
      </c>
      <c r="S712" s="1" t="str">
        <v/>
      </c>
      <c r="AC712" s="367" t="str">
        <f t="shared" si="59"/>
        <v/>
      </c>
    </row>
    <row r="713" spans="1:29">
      <c r="A713" s="367" t="str">
        <v/>
      </c>
      <c r="H713" s="391" t="str">
        <f t="shared" si="55"/>
        <v/>
      </c>
      <c r="I713" s="391" t="str">
        <f t="shared" si="56"/>
        <v/>
      </c>
      <c r="J713" s="391" t="str">
        <f t="shared" si="57"/>
        <v/>
      </c>
      <c r="K713" s="391" t="str">
        <f t="shared" si="58"/>
        <v/>
      </c>
      <c r="O713" s="367" t="str">
        <v/>
      </c>
      <c r="S713" s="1" t="str">
        <v/>
      </c>
      <c r="AC713" s="367" t="str">
        <f t="shared" si="59"/>
        <v/>
      </c>
    </row>
    <row r="714" spans="1:29">
      <c r="A714" s="367" t="str">
        <v/>
      </c>
      <c r="H714" s="391" t="str">
        <f t="shared" si="55"/>
        <v/>
      </c>
      <c r="I714" s="391" t="str">
        <f t="shared" si="56"/>
        <v/>
      </c>
      <c r="J714" s="391" t="str">
        <f t="shared" si="57"/>
        <v/>
      </c>
      <c r="K714" s="391" t="str">
        <f t="shared" si="58"/>
        <v/>
      </c>
      <c r="O714" s="367" t="str">
        <v/>
      </c>
      <c r="S714" s="1" t="str">
        <v/>
      </c>
      <c r="AC714" s="367" t="str">
        <f t="shared" si="59"/>
        <v/>
      </c>
    </row>
    <row r="715" spans="1:29">
      <c r="A715" s="367" t="str">
        <v/>
      </c>
      <c r="H715" s="391" t="str">
        <f t="shared" si="55"/>
        <v/>
      </c>
      <c r="I715" s="391" t="str">
        <f t="shared" si="56"/>
        <v/>
      </c>
      <c r="J715" s="391" t="str">
        <f t="shared" si="57"/>
        <v/>
      </c>
      <c r="K715" s="391" t="str">
        <f t="shared" si="58"/>
        <v/>
      </c>
      <c r="O715" s="367" t="str">
        <v/>
      </c>
      <c r="S715" s="1" t="str">
        <v/>
      </c>
      <c r="AC715" s="367" t="str">
        <f t="shared" si="59"/>
        <v/>
      </c>
    </row>
    <row r="716" spans="1:29">
      <c r="A716" s="367" t="str">
        <v/>
      </c>
      <c r="H716" s="391" t="str">
        <f t="shared" si="55"/>
        <v/>
      </c>
      <c r="I716" s="391" t="str">
        <f t="shared" si="56"/>
        <v/>
      </c>
      <c r="J716" s="391" t="str">
        <f t="shared" si="57"/>
        <v/>
      </c>
      <c r="K716" s="391" t="str">
        <f t="shared" si="58"/>
        <v/>
      </c>
      <c r="O716" s="367" t="str">
        <v/>
      </c>
      <c r="S716" s="1" t="str">
        <v/>
      </c>
      <c r="AC716" s="367" t="str">
        <f t="shared" si="59"/>
        <v/>
      </c>
    </row>
    <row r="717" spans="1:29">
      <c r="A717" s="367" t="str">
        <v/>
      </c>
      <c r="H717" s="391" t="str">
        <f t="shared" si="55"/>
        <v/>
      </c>
      <c r="I717" s="391" t="str">
        <f t="shared" si="56"/>
        <v/>
      </c>
      <c r="J717" s="391" t="str">
        <f t="shared" si="57"/>
        <v/>
      </c>
      <c r="K717" s="391" t="str">
        <f t="shared" si="58"/>
        <v/>
      </c>
      <c r="O717" s="367" t="str">
        <v/>
      </c>
      <c r="S717" s="1" t="str">
        <v/>
      </c>
      <c r="AC717" s="367" t="str">
        <f t="shared" si="59"/>
        <v/>
      </c>
    </row>
    <row r="718" spans="1:29">
      <c r="A718" s="367" t="str">
        <v/>
      </c>
      <c r="H718" s="391" t="str">
        <f t="shared" si="55"/>
        <v/>
      </c>
      <c r="I718" s="391" t="str">
        <f t="shared" si="56"/>
        <v/>
      </c>
      <c r="J718" s="391" t="str">
        <f t="shared" si="57"/>
        <v/>
      </c>
      <c r="K718" s="391" t="str">
        <f t="shared" si="58"/>
        <v/>
      </c>
      <c r="O718" s="367" t="str">
        <v/>
      </c>
      <c r="S718" s="1" t="str">
        <v/>
      </c>
      <c r="AC718" s="367" t="str">
        <f t="shared" si="59"/>
        <v/>
      </c>
    </row>
    <row r="719" spans="1:29">
      <c r="A719" s="367" t="str">
        <v/>
      </c>
      <c r="H719" s="391" t="str">
        <f t="shared" si="55"/>
        <v/>
      </c>
      <c r="I719" s="391" t="str">
        <f t="shared" si="56"/>
        <v/>
      </c>
      <c r="J719" s="391" t="str">
        <f t="shared" si="57"/>
        <v/>
      </c>
      <c r="K719" s="391" t="str">
        <f t="shared" si="58"/>
        <v/>
      </c>
      <c r="O719" s="367" t="str">
        <v/>
      </c>
      <c r="S719" s="1" t="str">
        <v/>
      </c>
      <c r="AC719" s="367" t="str">
        <f t="shared" si="59"/>
        <v/>
      </c>
    </row>
    <row r="720" spans="1:29">
      <c r="A720" s="367" t="str">
        <v/>
      </c>
      <c r="H720" s="391" t="str">
        <f t="shared" si="55"/>
        <v/>
      </c>
      <c r="I720" s="391" t="str">
        <f t="shared" si="56"/>
        <v/>
      </c>
      <c r="J720" s="391" t="str">
        <f t="shared" si="57"/>
        <v/>
      </c>
      <c r="K720" s="391" t="str">
        <f t="shared" si="58"/>
        <v/>
      </c>
      <c r="O720" s="367" t="str">
        <v/>
      </c>
      <c r="S720" s="1" t="str">
        <v/>
      </c>
      <c r="AC720" s="367" t="str">
        <f t="shared" si="59"/>
        <v/>
      </c>
    </row>
    <row r="721" spans="1:29">
      <c r="A721" s="367" t="str">
        <v/>
      </c>
      <c r="H721" s="391" t="str">
        <f t="shared" si="55"/>
        <v/>
      </c>
      <c r="I721" s="391" t="str">
        <f t="shared" si="56"/>
        <v/>
      </c>
      <c r="J721" s="391" t="str">
        <f t="shared" si="57"/>
        <v/>
      </c>
      <c r="K721" s="391" t="str">
        <f t="shared" si="58"/>
        <v/>
      </c>
      <c r="O721" s="367" t="str">
        <v/>
      </c>
      <c r="S721" s="1" t="str">
        <v/>
      </c>
      <c r="AC721" s="367" t="str">
        <f t="shared" si="59"/>
        <v/>
      </c>
    </row>
    <row r="722" spans="1:29">
      <c r="A722" s="367" t="str">
        <v/>
      </c>
      <c r="H722" s="391" t="str">
        <f t="shared" si="55"/>
        <v/>
      </c>
      <c r="I722" s="391" t="str">
        <f t="shared" si="56"/>
        <v/>
      </c>
      <c r="J722" s="391" t="str">
        <f t="shared" si="57"/>
        <v/>
      </c>
      <c r="K722" s="391" t="str">
        <f t="shared" si="58"/>
        <v/>
      </c>
      <c r="O722" s="367" t="str">
        <v/>
      </c>
      <c r="S722" s="1" t="str">
        <v/>
      </c>
      <c r="AC722" s="367" t="str">
        <f t="shared" si="59"/>
        <v/>
      </c>
    </row>
    <row r="723" spans="1:29">
      <c r="A723" s="367" t="str">
        <v/>
      </c>
      <c r="H723" s="391" t="str">
        <f t="shared" si="55"/>
        <v/>
      </c>
      <c r="I723" s="391" t="str">
        <f t="shared" si="56"/>
        <v/>
      </c>
      <c r="J723" s="391" t="str">
        <f t="shared" si="57"/>
        <v/>
      </c>
      <c r="K723" s="391" t="str">
        <f t="shared" si="58"/>
        <v/>
      </c>
      <c r="O723" s="367" t="str">
        <v/>
      </c>
      <c r="S723" s="1" t="str">
        <v/>
      </c>
      <c r="AC723" s="367" t="str">
        <f t="shared" si="59"/>
        <v/>
      </c>
    </row>
    <row r="724" spans="1:29">
      <c r="A724" s="367" t="str">
        <v/>
      </c>
      <c r="H724" s="391" t="str">
        <f t="shared" si="55"/>
        <v/>
      </c>
      <c r="I724" s="391" t="str">
        <f t="shared" si="56"/>
        <v/>
      </c>
      <c r="J724" s="391" t="str">
        <f t="shared" si="57"/>
        <v/>
      </c>
      <c r="K724" s="391" t="str">
        <f t="shared" si="58"/>
        <v/>
      </c>
      <c r="O724" s="367" t="str">
        <v/>
      </c>
      <c r="S724" s="1" t="str">
        <v/>
      </c>
      <c r="AC724" s="367" t="str">
        <f t="shared" si="59"/>
        <v/>
      </c>
    </row>
    <row r="725" spans="1:29">
      <c r="A725" s="367" t="str">
        <v/>
      </c>
      <c r="H725" s="391" t="str">
        <f t="shared" si="55"/>
        <v/>
      </c>
      <c r="I725" s="391" t="str">
        <f t="shared" si="56"/>
        <v/>
      </c>
      <c r="J725" s="391" t="str">
        <f t="shared" si="57"/>
        <v/>
      </c>
      <c r="K725" s="391" t="str">
        <f t="shared" si="58"/>
        <v/>
      </c>
      <c r="O725" s="367" t="str">
        <v/>
      </c>
      <c r="S725" s="1" t="str">
        <v/>
      </c>
      <c r="AC725" s="367" t="str">
        <f t="shared" si="59"/>
        <v/>
      </c>
    </row>
    <row r="726" spans="1:29">
      <c r="A726" s="367" t="str">
        <v/>
      </c>
      <c r="H726" s="391" t="str">
        <f t="shared" si="55"/>
        <v/>
      </c>
      <c r="I726" s="391" t="str">
        <f t="shared" si="56"/>
        <v/>
      </c>
      <c r="J726" s="391" t="str">
        <f t="shared" si="57"/>
        <v/>
      </c>
      <c r="K726" s="391" t="str">
        <f t="shared" si="58"/>
        <v/>
      </c>
      <c r="O726" s="367" t="str">
        <v/>
      </c>
      <c r="S726" s="1" t="str">
        <v/>
      </c>
      <c r="AC726" s="367" t="str">
        <f t="shared" si="59"/>
        <v/>
      </c>
    </row>
    <row r="727" spans="1:29">
      <c r="A727" s="367" t="str">
        <v/>
      </c>
      <c r="H727" s="391" t="str">
        <f t="shared" ref="H727:H790" si="60">IF($C727="","",ROUND((($B$2*$F727*($B$5/1000))/$B$6)*(1+IF($B$18="",0,$B$18)),2))</f>
        <v/>
      </c>
      <c r="I727" s="391" t="str">
        <f t="shared" ref="I727:I790" si="61">IF($C727="","",ROUND((($B$3*$F727*($B$5/1000))/$B$6)*(1+IF($B$18="",0,$B$18)),2))</f>
        <v/>
      </c>
      <c r="J727" s="391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1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7" t="str">
        <v/>
      </c>
      <c r="S727" s="1" t="str">
        <v/>
      </c>
      <c r="AC727" s="367" t="str">
        <f t="shared" si="59"/>
        <v/>
      </c>
    </row>
    <row r="728" spans="1:29">
      <c r="A728" s="367" t="str">
        <v/>
      </c>
      <c r="H728" s="391" t="str">
        <f t="shared" si="60"/>
        <v/>
      </c>
      <c r="I728" s="391" t="str">
        <f t="shared" si="61"/>
        <v/>
      </c>
      <c r="J728" s="391" t="str">
        <f t="shared" si="62"/>
        <v/>
      </c>
      <c r="K728" s="391" t="str">
        <f t="shared" si="63"/>
        <v/>
      </c>
      <c r="O728" s="367" t="str">
        <v/>
      </c>
      <c r="S728" s="1" t="str">
        <v/>
      </c>
      <c r="AC728" s="367" t="str">
        <f t="shared" si="59"/>
        <v/>
      </c>
    </row>
    <row r="729" spans="1:29">
      <c r="A729" s="367" t="str">
        <v/>
      </c>
      <c r="H729" s="391" t="str">
        <f t="shared" si="60"/>
        <v/>
      </c>
      <c r="I729" s="391" t="str">
        <f t="shared" si="61"/>
        <v/>
      </c>
      <c r="J729" s="391" t="str">
        <f t="shared" si="62"/>
        <v/>
      </c>
      <c r="K729" s="391" t="str">
        <f t="shared" si="63"/>
        <v/>
      </c>
      <c r="O729" s="367" t="str">
        <v/>
      </c>
      <c r="S729" s="1" t="str">
        <v/>
      </c>
      <c r="AC729" s="367" t="str">
        <f t="shared" si="59"/>
        <v/>
      </c>
    </row>
    <row r="730" spans="1:29">
      <c r="A730" s="367" t="str">
        <v/>
      </c>
      <c r="H730" s="391" t="str">
        <f t="shared" si="60"/>
        <v/>
      </c>
      <c r="I730" s="391" t="str">
        <f t="shared" si="61"/>
        <v/>
      </c>
      <c r="J730" s="391" t="str">
        <f t="shared" si="62"/>
        <v/>
      </c>
      <c r="K730" s="391" t="str">
        <f t="shared" si="63"/>
        <v/>
      </c>
      <c r="O730" s="367" t="str">
        <v/>
      </c>
      <c r="S730" s="1" t="str">
        <v/>
      </c>
      <c r="AC730" s="367" t="str">
        <f t="shared" si="59"/>
        <v/>
      </c>
    </row>
    <row r="731" spans="1:29">
      <c r="A731" s="367" t="str">
        <v/>
      </c>
      <c r="H731" s="391" t="str">
        <f t="shared" si="60"/>
        <v/>
      </c>
      <c r="I731" s="391" t="str">
        <f t="shared" si="61"/>
        <v/>
      </c>
      <c r="J731" s="391" t="str">
        <f t="shared" si="62"/>
        <v/>
      </c>
      <c r="K731" s="391" t="str">
        <f t="shared" si="63"/>
        <v/>
      </c>
      <c r="O731" s="367" t="str">
        <v/>
      </c>
      <c r="S731" s="1" t="str">
        <v/>
      </c>
      <c r="AC731" s="367" t="str">
        <f t="shared" si="59"/>
        <v/>
      </c>
    </row>
    <row r="732" spans="1:29">
      <c r="A732" s="367" t="str">
        <v/>
      </c>
      <c r="H732" s="391" t="str">
        <f t="shared" si="60"/>
        <v/>
      </c>
      <c r="I732" s="391" t="str">
        <f t="shared" si="61"/>
        <v/>
      </c>
      <c r="J732" s="391" t="str">
        <f t="shared" si="62"/>
        <v/>
      </c>
      <c r="K732" s="391" t="str">
        <f t="shared" si="63"/>
        <v/>
      </c>
      <c r="O732" s="367" t="str">
        <v/>
      </c>
      <c r="S732" s="1" t="str">
        <v/>
      </c>
      <c r="AC732" s="367" t="str">
        <f t="shared" si="59"/>
        <v/>
      </c>
    </row>
    <row r="733" spans="1:29">
      <c r="A733" s="367" t="str">
        <v/>
      </c>
      <c r="H733" s="391" t="str">
        <f t="shared" si="60"/>
        <v/>
      </c>
      <c r="I733" s="391" t="str">
        <f t="shared" si="61"/>
        <v/>
      </c>
      <c r="J733" s="391" t="str">
        <f t="shared" si="62"/>
        <v/>
      </c>
      <c r="K733" s="391" t="str">
        <f t="shared" si="63"/>
        <v/>
      </c>
      <c r="O733" s="367" t="str">
        <v/>
      </c>
      <c r="S733" s="1" t="str">
        <v/>
      </c>
      <c r="AC733" s="367" t="str">
        <f t="shared" si="59"/>
        <v/>
      </c>
    </row>
    <row r="734" spans="1:29">
      <c r="A734" s="367" t="str">
        <v/>
      </c>
      <c r="H734" s="391" t="str">
        <f t="shared" si="60"/>
        <v/>
      </c>
      <c r="I734" s="391" t="str">
        <f t="shared" si="61"/>
        <v/>
      </c>
      <c r="J734" s="391" t="str">
        <f t="shared" si="62"/>
        <v/>
      </c>
      <c r="K734" s="391" t="str">
        <f t="shared" si="63"/>
        <v/>
      </c>
      <c r="O734" s="367" t="str">
        <v/>
      </c>
      <c r="S734" s="1" t="str">
        <v/>
      </c>
      <c r="AC734" s="367" t="str">
        <f t="shared" si="59"/>
        <v/>
      </c>
    </row>
    <row r="735" spans="1:29">
      <c r="A735" s="367" t="str">
        <v/>
      </c>
      <c r="H735" s="391" t="str">
        <f t="shared" si="60"/>
        <v/>
      </c>
      <c r="I735" s="391" t="str">
        <f t="shared" si="61"/>
        <v/>
      </c>
      <c r="J735" s="391" t="str">
        <f t="shared" si="62"/>
        <v/>
      </c>
      <c r="K735" s="391" t="str">
        <f t="shared" si="63"/>
        <v/>
      </c>
      <c r="O735" s="367" t="str">
        <v/>
      </c>
      <c r="S735" s="1" t="str">
        <v/>
      </c>
      <c r="AC735" s="367" t="str">
        <f t="shared" si="59"/>
        <v/>
      </c>
    </row>
    <row r="736" spans="1:29">
      <c r="A736" s="367" t="str">
        <v/>
      </c>
      <c r="H736" s="391" t="str">
        <f t="shared" si="60"/>
        <v/>
      </c>
      <c r="I736" s="391" t="str">
        <f t="shared" si="61"/>
        <v/>
      </c>
      <c r="J736" s="391" t="str">
        <f t="shared" si="62"/>
        <v/>
      </c>
      <c r="K736" s="391" t="str">
        <f t="shared" si="63"/>
        <v/>
      </c>
      <c r="O736" s="367" t="str">
        <v/>
      </c>
      <c r="S736" s="1" t="str">
        <v/>
      </c>
      <c r="AC736" s="367" t="str">
        <f t="shared" si="59"/>
        <v/>
      </c>
    </row>
    <row r="737" spans="1:29">
      <c r="A737" s="367" t="str">
        <v/>
      </c>
      <c r="H737" s="391" t="str">
        <f t="shared" si="60"/>
        <v/>
      </c>
      <c r="I737" s="391" t="str">
        <f t="shared" si="61"/>
        <v/>
      </c>
      <c r="J737" s="391" t="str">
        <f t="shared" si="62"/>
        <v/>
      </c>
      <c r="K737" s="391" t="str">
        <f t="shared" si="63"/>
        <v/>
      </c>
      <c r="O737" s="367" t="str">
        <v/>
      </c>
      <c r="S737" s="1" t="str">
        <v/>
      </c>
      <c r="AC737" s="367" t="str">
        <f t="shared" si="59"/>
        <v/>
      </c>
    </row>
    <row r="738" spans="1:29">
      <c r="A738" s="367" t="str">
        <v/>
      </c>
      <c r="H738" s="391" t="str">
        <f t="shared" si="60"/>
        <v/>
      </c>
      <c r="I738" s="391" t="str">
        <f t="shared" si="61"/>
        <v/>
      </c>
      <c r="J738" s="391" t="str">
        <f t="shared" si="62"/>
        <v/>
      </c>
      <c r="K738" s="391" t="str">
        <f t="shared" si="63"/>
        <v/>
      </c>
      <c r="O738" s="367" t="str">
        <v/>
      </c>
      <c r="S738" s="1" t="str">
        <v/>
      </c>
      <c r="AC738" s="367" t="str">
        <f t="shared" si="59"/>
        <v/>
      </c>
    </row>
    <row r="739" spans="1:29">
      <c r="A739" s="367" t="str">
        <v/>
      </c>
      <c r="H739" s="391" t="str">
        <f t="shared" si="60"/>
        <v/>
      </c>
      <c r="I739" s="391" t="str">
        <f t="shared" si="61"/>
        <v/>
      </c>
      <c r="J739" s="391" t="str">
        <f t="shared" si="62"/>
        <v/>
      </c>
      <c r="K739" s="391" t="str">
        <f t="shared" si="63"/>
        <v/>
      </c>
      <c r="O739" s="367" t="str">
        <v/>
      </c>
      <c r="S739" s="1" t="str">
        <v/>
      </c>
      <c r="AC739" s="367" t="str">
        <f t="shared" si="59"/>
        <v/>
      </c>
    </row>
    <row r="740" spans="1:29">
      <c r="A740" s="367" t="str">
        <v/>
      </c>
      <c r="H740" s="391" t="str">
        <f t="shared" si="60"/>
        <v/>
      </c>
      <c r="I740" s="391" t="str">
        <f t="shared" si="61"/>
        <v/>
      </c>
      <c r="J740" s="391" t="str">
        <f t="shared" si="62"/>
        <v/>
      </c>
      <c r="K740" s="391" t="str">
        <f t="shared" si="63"/>
        <v/>
      </c>
      <c r="O740" s="367" t="str">
        <v/>
      </c>
      <c r="S740" s="1" t="str">
        <v/>
      </c>
      <c r="AC740" s="367" t="str">
        <f t="shared" si="59"/>
        <v/>
      </c>
    </row>
    <row r="741" spans="1:29">
      <c r="A741" s="367" t="str">
        <v/>
      </c>
      <c r="H741" s="391" t="str">
        <f t="shared" si="60"/>
        <v/>
      </c>
      <c r="I741" s="391" t="str">
        <f t="shared" si="61"/>
        <v/>
      </c>
      <c r="J741" s="391" t="str">
        <f t="shared" si="62"/>
        <v/>
      </c>
      <c r="K741" s="391" t="str">
        <f t="shared" si="63"/>
        <v/>
      </c>
      <c r="O741" s="367" t="str">
        <v/>
      </c>
      <c r="S741" s="1" t="str">
        <v/>
      </c>
      <c r="AC741" s="367" t="str">
        <f t="shared" si="59"/>
        <v/>
      </c>
    </row>
    <row r="742" spans="1:29">
      <c r="A742" s="367" t="str">
        <v/>
      </c>
      <c r="H742" s="391" t="str">
        <f t="shared" si="60"/>
        <v/>
      </c>
      <c r="I742" s="391" t="str">
        <f t="shared" si="61"/>
        <v/>
      </c>
      <c r="J742" s="391" t="str">
        <f t="shared" si="62"/>
        <v/>
      </c>
      <c r="K742" s="391" t="str">
        <f t="shared" si="63"/>
        <v/>
      </c>
      <c r="O742" s="367" t="str">
        <v/>
      </c>
      <c r="S742" s="1" t="str">
        <v/>
      </c>
      <c r="AC742" s="367" t="str">
        <f t="shared" si="59"/>
        <v/>
      </c>
    </row>
    <row r="743" spans="1:29">
      <c r="A743" s="367" t="str">
        <v/>
      </c>
      <c r="H743" s="391" t="str">
        <f t="shared" si="60"/>
        <v/>
      </c>
      <c r="I743" s="391" t="str">
        <f t="shared" si="61"/>
        <v/>
      </c>
      <c r="J743" s="391" t="str">
        <f t="shared" si="62"/>
        <v/>
      </c>
      <c r="K743" s="391" t="str">
        <f t="shared" si="63"/>
        <v/>
      </c>
      <c r="O743" s="367" t="str">
        <v/>
      </c>
      <c r="S743" s="1" t="str">
        <v/>
      </c>
      <c r="AC743" s="367" t="str">
        <f t="shared" si="59"/>
        <v/>
      </c>
    </row>
    <row r="744" spans="1:29">
      <c r="A744" s="367" t="str">
        <v/>
      </c>
      <c r="H744" s="391" t="str">
        <f t="shared" si="60"/>
        <v/>
      </c>
      <c r="I744" s="391" t="str">
        <f t="shared" si="61"/>
        <v/>
      </c>
      <c r="J744" s="391" t="str">
        <f t="shared" si="62"/>
        <v/>
      </c>
      <c r="K744" s="391" t="str">
        <f t="shared" si="63"/>
        <v/>
      </c>
      <c r="O744" s="367" t="str">
        <v/>
      </c>
      <c r="S744" s="1" t="str">
        <v/>
      </c>
      <c r="AC744" s="367" t="str">
        <f t="shared" si="59"/>
        <v/>
      </c>
    </row>
    <row r="745" spans="1:29">
      <c r="A745" s="367" t="str">
        <v/>
      </c>
      <c r="H745" s="391" t="str">
        <f t="shared" si="60"/>
        <v/>
      </c>
      <c r="I745" s="391" t="str">
        <f t="shared" si="61"/>
        <v/>
      </c>
      <c r="J745" s="391" t="str">
        <f t="shared" si="62"/>
        <v/>
      </c>
      <c r="K745" s="391" t="str">
        <f t="shared" si="63"/>
        <v/>
      </c>
      <c r="O745" s="367" t="str">
        <v/>
      </c>
      <c r="S745" s="1" t="str">
        <v/>
      </c>
      <c r="AC745" s="367" t="str">
        <f t="shared" si="59"/>
        <v/>
      </c>
    </row>
    <row r="746" spans="1:29">
      <c r="A746" s="367" t="str">
        <v/>
      </c>
      <c r="H746" s="391" t="str">
        <f t="shared" si="60"/>
        <v/>
      </c>
      <c r="I746" s="391" t="str">
        <f t="shared" si="61"/>
        <v/>
      </c>
      <c r="J746" s="391" t="str">
        <f t="shared" si="62"/>
        <v/>
      </c>
      <c r="K746" s="391" t="str">
        <f t="shared" si="63"/>
        <v/>
      </c>
      <c r="O746" s="367" t="str">
        <v/>
      </c>
      <c r="S746" s="1" t="str">
        <v/>
      </c>
      <c r="AC746" s="367" t="str">
        <f t="shared" si="59"/>
        <v/>
      </c>
    </row>
    <row r="747" spans="1:29">
      <c r="A747" s="367" t="str">
        <v/>
      </c>
      <c r="H747" s="391" t="str">
        <f t="shared" si="60"/>
        <v/>
      </c>
      <c r="I747" s="391" t="str">
        <f t="shared" si="61"/>
        <v/>
      </c>
      <c r="J747" s="391" t="str">
        <f t="shared" si="62"/>
        <v/>
      </c>
      <c r="K747" s="391" t="str">
        <f t="shared" si="63"/>
        <v/>
      </c>
      <c r="O747" s="367" t="str">
        <v/>
      </c>
      <c r="S747" s="1" t="str">
        <v/>
      </c>
      <c r="AC747" s="367" t="str">
        <f t="shared" si="59"/>
        <v/>
      </c>
    </row>
    <row r="748" spans="1:29">
      <c r="A748" s="367" t="str">
        <v/>
      </c>
      <c r="H748" s="391" t="str">
        <f t="shared" si="60"/>
        <v/>
      </c>
      <c r="I748" s="391" t="str">
        <f t="shared" si="61"/>
        <v/>
      </c>
      <c r="J748" s="391" t="str">
        <f t="shared" si="62"/>
        <v/>
      </c>
      <c r="K748" s="391" t="str">
        <f t="shared" si="63"/>
        <v/>
      </c>
      <c r="O748" s="367" t="str">
        <v/>
      </c>
      <c r="S748" s="1" t="str">
        <v/>
      </c>
      <c r="AC748" s="367" t="str">
        <f t="shared" si="59"/>
        <v/>
      </c>
    </row>
    <row r="749" spans="1:29">
      <c r="A749" s="367" t="str">
        <v/>
      </c>
      <c r="H749" s="391" t="str">
        <f t="shared" si="60"/>
        <v/>
      </c>
      <c r="I749" s="391" t="str">
        <f t="shared" si="61"/>
        <v/>
      </c>
      <c r="J749" s="391" t="str">
        <f t="shared" si="62"/>
        <v/>
      </c>
      <c r="K749" s="391" t="str">
        <f t="shared" si="63"/>
        <v/>
      </c>
      <c r="O749" s="367" t="str">
        <v/>
      </c>
      <c r="S749" s="1" t="str">
        <v/>
      </c>
      <c r="AC749" s="367" t="str">
        <f t="shared" si="59"/>
        <v/>
      </c>
    </row>
    <row r="750" spans="1:29">
      <c r="A750" s="367" t="str">
        <v/>
      </c>
      <c r="H750" s="391" t="str">
        <f t="shared" si="60"/>
        <v/>
      </c>
      <c r="I750" s="391" t="str">
        <f t="shared" si="61"/>
        <v/>
      </c>
      <c r="J750" s="391" t="str">
        <f t="shared" si="62"/>
        <v/>
      </c>
      <c r="K750" s="391" t="str">
        <f t="shared" si="63"/>
        <v/>
      </c>
      <c r="O750" s="367" t="str">
        <v/>
      </c>
      <c r="S750" s="1" t="str">
        <v/>
      </c>
      <c r="AC750" s="367" t="str">
        <f t="shared" si="59"/>
        <v/>
      </c>
    </row>
    <row r="751" spans="1:29">
      <c r="A751" s="367" t="str">
        <v/>
      </c>
      <c r="H751" s="391" t="str">
        <f t="shared" si="60"/>
        <v/>
      </c>
      <c r="I751" s="391" t="str">
        <f t="shared" si="61"/>
        <v/>
      </c>
      <c r="J751" s="391" t="str">
        <f t="shared" si="62"/>
        <v/>
      </c>
      <c r="K751" s="391" t="str">
        <f t="shared" si="63"/>
        <v/>
      </c>
      <c r="O751" s="367" t="str">
        <v/>
      </c>
      <c r="S751" s="1" t="str">
        <v/>
      </c>
      <c r="AC751" s="367" t="str">
        <f t="shared" si="59"/>
        <v/>
      </c>
    </row>
    <row r="752" spans="1:29">
      <c r="A752" s="367" t="str">
        <v/>
      </c>
      <c r="H752" s="391" t="str">
        <f t="shared" si="60"/>
        <v/>
      </c>
      <c r="I752" s="391" t="str">
        <f t="shared" si="61"/>
        <v/>
      </c>
      <c r="J752" s="391" t="str">
        <f t="shared" si="62"/>
        <v/>
      </c>
      <c r="K752" s="391" t="str">
        <f t="shared" si="63"/>
        <v/>
      </c>
      <c r="O752" s="367" t="str">
        <v/>
      </c>
      <c r="S752" s="1" t="str">
        <v/>
      </c>
      <c r="AC752" s="367" t="str">
        <f t="shared" ref="AC752:AC815" si="64">IF($AB752&lt;&gt;"",$AB752,IFERROR(ROUNDUP($Z752/$Y752,1),""))</f>
        <v/>
      </c>
    </row>
    <row r="753" spans="1:29">
      <c r="A753" s="367" t="str">
        <v/>
      </c>
      <c r="H753" s="391" t="str">
        <f t="shared" si="60"/>
        <v/>
      </c>
      <c r="I753" s="391" t="str">
        <f t="shared" si="61"/>
        <v/>
      </c>
      <c r="J753" s="391" t="str">
        <f t="shared" si="62"/>
        <v/>
      </c>
      <c r="K753" s="391" t="str">
        <f t="shared" si="63"/>
        <v/>
      </c>
      <c r="O753" s="367" t="str">
        <v/>
      </c>
      <c r="S753" s="1" t="str">
        <v/>
      </c>
      <c r="AC753" s="367" t="str">
        <f t="shared" si="64"/>
        <v/>
      </c>
    </row>
    <row r="754" spans="1:29">
      <c r="A754" s="367" t="str">
        <v/>
      </c>
      <c r="H754" s="391" t="str">
        <f t="shared" si="60"/>
        <v/>
      </c>
      <c r="I754" s="391" t="str">
        <f t="shared" si="61"/>
        <v/>
      </c>
      <c r="J754" s="391" t="str">
        <f t="shared" si="62"/>
        <v/>
      </c>
      <c r="K754" s="391" t="str">
        <f t="shared" si="63"/>
        <v/>
      </c>
      <c r="O754" s="367" t="str">
        <v/>
      </c>
      <c r="S754" s="1" t="str">
        <v/>
      </c>
      <c r="AC754" s="367" t="str">
        <f t="shared" si="64"/>
        <v/>
      </c>
    </row>
    <row r="755" spans="1:29">
      <c r="A755" s="367" t="str">
        <v/>
      </c>
      <c r="H755" s="391" t="str">
        <f t="shared" si="60"/>
        <v/>
      </c>
      <c r="I755" s="391" t="str">
        <f t="shared" si="61"/>
        <v/>
      </c>
      <c r="J755" s="391" t="str">
        <f t="shared" si="62"/>
        <v/>
      </c>
      <c r="K755" s="391" t="str">
        <f t="shared" si="63"/>
        <v/>
      </c>
      <c r="O755" s="367" t="str">
        <v/>
      </c>
      <c r="S755" s="1" t="str">
        <v/>
      </c>
      <c r="AC755" s="367" t="str">
        <f t="shared" si="64"/>
        <v/>
      </c>
    </row>
    <row r="756" spans="1:29">
      <c r="A756" s="367" t="str">
        <v/>
      </c>
      <c r="H756" s="391" t="str">
        <f t="shared" si="60"/>
        <v/>
      </c>
      <c r="I756" s="391" t="str">
        <f t="shared" si="61"/>
        <v/>
      </c>
      <c r="J756" s="391" t="str">
        <f t="shared" si="62"/>
        <v/>
      </c>
      <c r="K756" s="391" t="str">
        <f t="shared" si="63"/>
        <v/>
      </c>
      <c r="O756" s="367" t="str">
        <v/>
      </c>
      <c r="S756" s="1" t="str">
        <v/>
      </c>
      <c r="AC756" s="367" t="str">
        <f t="shared" si="64"/>
        <v/>
      </c>
    </row>
    <row r="757" spans="1:29">
      <c r="A757" s="367" t="str">
        <v/>
      </c>
      <c r="H757" s="391" t="str">
        <f t="shared" si="60"/>
        <v/>
      </c>
      <c r="I757" s="391" t="str">
        <f t="shared" si="61"/>
        <v/>
      </c>
      <c r="J757" s="391" t="str">
        <f t="shared" si="62"/>
        <v/>
      </c>
      <c r="K757" s="391" t="str">
        <f t="shared" si="63"/>
        <v/>
      </c>
      <c r="O757" s="367" t="str">
        <v/>
      </c>
      <c r="S757" s="1" t="str">
        <v/>
      </c>
      <c r="AC757" s="367" t="str">
        <f t="shared" si="64"/>
        <v/>
      </c>
    </row>
    <row r="758" spans="1:29">
      <c r="A758" s="367" t="str">
        <v/>
      </c>
      <c r="H758" s="391" t="str">
        <f t="shared" si="60"/>
        <v/>
      </c>
      <c r="I758" s="391" t="str">
        <f t="shared" si="61"/>
        <v/>
      </c>
      <c r="J758" s="391" t="str">
        <f t="shared" si="62"/>
        <v/>
      </c>
      <c r="K758" s="391" t="str">
        <f t="shared" si="63"/>
        <v/>
      </c>
      <c r="O758" s="367" t="str">
        <v/>
      </c>
      <c r="S758" s="1" t="str">
        <v/>
      </c>
      <c r="AC758" s="367" t="str">
        <f t="shared" si="64"/>
        <v/>
      </c>
    </row>
    <row r="759" spans="1:29">
      <c r="A759" s="367" t="str">
        <v/>
      </c>
      <c r="H759" s="391" t="str">
        <f t="shared" si="60"/>
        <v/>
      </c>
      <c r="I759" s="391" t="str">
        <f t="shared" si="61"/>
        <v/>
      </c>
      <c r="J759" s="391" t="str">
        <f t="shared" si="62"/>
        <v/>
      </c>
      <c r="K759" s="391" t="str">
        <f t="shared" si="63"/>
        <v/>
      </c>
      <c r="O759" s="367" t="str">
        <v/>
      </c>
      <c r="S759" s="1" t="str">
        <v/>
      </c>
      <c r="AC759" s="367" t="str">
        <f t="shared" si="64"/>
        <v/>
      </c>
    </row>
    <row r="760" spans="1:29">
      <c r="A760" s="367" t="str">
        <v/>
      </c>
      <c r="H760" s="391" t="str">
        <f t="shared" si="60"/>
        <v/>
      </c>
      <c r="I760" s="391" t="str">
        <f t="shared" si="61"/>
        <v/>
      </c>
      <c r="J760" s="391" t="str">
        <f t="shared" si="62"/>
        <v/>
      </c>
      <c r="K760" s="391" t="str">
        <f t="shared" si="63"/>
        <v/>
      </c>
      <c r="O760" s="367" t="str">
        <v/>
      </c>
      <c r="S760" s="1" t="str">
        <v/>
      </c>
      <c r="AC760" s="367" t="str">
        <f t="shared" si="64"/>
        <v/>
      </c>
    </row>
    <row r="761" spans="1:29">
      <c r="A761" s="367" t="str">
        <v/>
      </c>
      <c r="H761" s="391" t="str">
        <f t="shared" si="60"/>
        <v/>
      </c>
      <c r="I761" s="391" t="str">
        <f t="shared" si="61"/>
        <v/>
      </c>
      <c r="J761" s="391" t="str">
        <f t="shared" si="62"/>
        <v/>
      </c>
      <c r="K761" s="391" t="str">
        <f t="shared" si="63"/>
        <v/>
      </c>
      <c r="O761" s="367" t="str">
        <v/>
      </c>
      <c r="S761" s="1" t="str">
        <v/>
      </c>
      <c r="AC761" s="367" t="str">
        <f t="shared" si="64"/>
        <v/>
      </c>
    </row>
    <row r="762" spans="1:29">
      <c r="A762" s="367" t="str">
        <v/>
      </c>
      <c r="H762" s="391" t="str">
        <f t="shared" si="60"/>
        <v/>
      </c>
      <c r="I762" s="391" t="str">
        <f t="shared" si="61"/>
        <v/>
      </c>
      <c r="J762" s="391" t="str">
        <f t="shared" si="62"/>
        <v/>
      </c>
      <c r="K762" s="391" t="str">
        <f t="shared" si="63"/>
        <v/>
      </c>
      <c r="O762" s="367" t="str">
        <v/>
      </c>
      <c r="S762" s="1" t="str">
        <v/>
      </c>
      <c r="AC762" s="367" t="str">
        <f t="shared" si="64"/>
        <v/>
      </c>
    </row>
    <row r="763" spans="1:29">
      <c r="A763" s="367" t="str">
        <v/>
      </c>
      <c r="H763" s="391" t="str">
        <f t="shared" si="60"/>
        <v/>
      </c>
      <c r="I763" s="391" t="str">
        <f t="shared" si="61"/>
        <v/>
      </c>
      <c r="J763" s="391" t="str">
        <f t="shared" si="62"/>
        <v/>
      </c>
      <c r="K763" s="391" t="str">
        <f t="shared" si="63"/>
        <v/>
      </c>
      <c r="O763" s="367" t="str">
        <v/>
      </c>
      <c r="S763" s="1" t="str">
        <v/>
      </c>
      <c r="AC763" s="367" t="str">
        <f t="shared" si="64"/>
        <v/>
      </c>
    </row>
    <row r="764" spans="1:29">
      <c r="A764" s="367" t="str">
        <v/>
      </c>
      <c r="H764" s="391" t="str">
        <f t="shared" si="60"/>
        <v/>
      </c>
      <c r="I764" s="391" t="str">
        <f t="shared" si="61"/>
        <v/>
      </c>
      <c r="J764" s="391" t="str">
        <f t="shared" si="62"/>
        <v/>
      </c>
      <c r="K764" s="391" t="str">
        <f t="shared" si="63"/>
        <v/>
      </c>
      <c r="O764" s="367" t="str">
        <v/>
      </c>
      <c r="S764" s="1" t="str">
        <v/>
      </c>
      <c r="AC764" s="367" t="str">
        <f t="shared" si="64"/>
        <v/>
      </c>
    </row>
    <row r="765" spans="1:29">
      <c r="A765" s="367" t="str">
        <v/>
      </c>
      <c r="H765" s="391" t="str">
        <f t="shared" si="60"/>
        <v/>
      </c>
      <c r="I765" s="391" t="str">
        <f t="shared" si="61"/>
        <v/>
      </c>
      <c r="J765" s="391" t="str">
        <f t="shared" si="62"/>
        <v/>
      </c>
      <c r="K765" s="391" t="str">
        <f t="shared" si="63"/>
        <v/>
      </c>
      <c r="O765" s="367" t="str">
        <v/>
      </c>
      <c r="S765" s="1" t="str">
        <v/>
      </c>
      <c r="AC765" s="367" t="str">
        <f t="shared" si="64"/>
        <v/>
      </c>
    </row>
    <row r="766" spans="1:29">
      <c r="A766" s="367" t="str">
        <v/>
      </c>
      <c r="H766" s="391" t="str">
        <f t="shared" si="60"/>
        <v/>
      </c>
      <c r="I766" s="391" t="str">
        <f t="shared" si="61"/>
        <v/>
      </c>
      <c r="J766" s="391" t="str">
        <f t="shared" si="62"/>
        <v/>
      </c>
      <c r="K766" s="391" t="str">
        <f t="shared" si="63"/>
        <v/>
      </c>
      <c r="O766" s="367" t="str">
        <v/>
      </c>
      <c r="S766" s="1" t="str">
        <v/>
      </c>
      <c r="AC766" s="367" t="str">
        <f t="shared" si="64"/>
        <v/>
      </c>
    </row>
    <row r="767" spans="1:29">
      <c r="A767" s="367" t="str">
        <v/>
      </c>
      <c r="H767" s="391" t="str">
        <f t="shared" si="60"/>
        <v/>
      </c>
      <c r="I767" s="391" t="str">
        <f t="shared" si="61"/>
        <v/>
      </c>
      <c r="J767" s="391" t="str">
        <f t="shared" si="62"/>
        <v/>
      </c>
      <c r="K767" s="391" t="str">
        <f t="shared" si="63"/>
        <v/>
      </c>
      <c r="O767" s="367" t="str">
        <v/>
      </c>
      <c r="S767" s="1" t="str">
        <v/>
      </c>
      <c r="AC767" s="367" t="str">
        <f t="shared" si="64"/>
        <v/>
      </c>
    </row>
    <row r="768" spans="1:29">
      <c r="A768" s="367" t="str">
        <v/>
      </c>
      <c r="H768" s="391" t="str">
        <f t="shared" si="60"/>
        <v/>
      </c>
      <c r="I768" s="391" t="str">
        <f t="shared" si="61"/>
        <v/>
      </c>
      <c r="J768" s="391" t="str">
        <f t="shared" si="62"/>
        <v/>
      </c>
      <c r="K768" s="391" t="str">
        <f t="shared" si="63"/>
        <v/>
      </c>
      <c r="O768" s="367" t="str">
        <v/>
      </c>
      <c r="S768" s="1" t="str">
        <v/>
      </c>
      <c r="AC768" s="367" t="str">
        <f t="shared" si="64"/>
        <v/>
      </c>
    </row>
    <row r="769" spans="1:29">
      <c r="A769" s="367" t="str">
        <v/>
      </c>
      <c r="H769" s="391" t="str">
        <f t="shared" si="60"/>
        <v/>
      </c>
      <c r="I769" s="391" t="str">
        <f t="shared" si="61"/>
        <v/>
      </c>
      <c r="J769" s="391" t="str">
        <f t="shared" si="62"/>
        <v/>
      </c>
      <c r="K769" s="391" t="str">
        <f t="shared" si="63"/>
        <v/>
      </c>
      <c r="O769" s="367" t="str">
        <v/>
      </c>
      <c r="S769" s="1" t="str">
        <v/>
      </c>
      <c r="AC769" s="367" t="str">
        <f t="shared" si="64"/>
        <v/>
      </c>
    </row>
    <row r="770" spans="1:29">
      <c r="A770" s="367" t="str">
        <v/>
      </c>
      <c r="H770" s="391" t="str">
        <f t="shared" si="60"/>
        <v/>
      </c>
      <c r="I770" s="391" t="str">
        <f t="shared" si="61"/>
        <v/>
      </c>
      <c r="J770" s="391" t="str">
        <f t="shared" si="62"/>
        <v/>
      </c>
      <c r="K770" s="391" t="str">
        <f t="shared" si="63"/>
        <v/>
      </c>
      <c r="O770" s="367" t="str">
        <v/>
      </c>
      <c r="S770" s="1" t="str">
        <v/>
      </c>
      <c r="AC770" s="367" t="str">
        <f t="shared" si="64"/>
        <v/>
      </c>
    </row>
    <row r="771" spans="1:29">
      <c r="A771" s="367" t="str">
        <v/>
      </c>
      <c r="H771" s="391" t="str">
        <f t="shared" si="60"/>
        <v/>
      </c>
      <c r="I771" s="391" t="str">
        <f t="shared" si="61"/>
        <v/>
      </c>
      <c r="J771" s="391" t="str">
        <f t="shared" si="62"/>
        <v/>
      </c>
      <c r="K771" s="391" t="str">
        <f t="shared" si="63"/>
        <v/>
      </c>
      <c r="O771" s="367" t="str">
        <v/>
      </c>
      <c r="S771" s="1" t="str">
        <v/>
      </c>
      <c r="AC771" s="367" t="str">
        <f t="shared" si="64"/>
        <v/>
      </c>
    </row>
    <row r="772" spans="1:29">
      <c r="A772" s="367" t="str">
        <v/>
      </c>
      <c r="H772" s="391" t="str">
        <f t="shared" si="60"/>
        <v/>
      </c>
      <c r="I772" s="391" t="str">
        <f t="shared" si="61"/>
        <v/>
      </c>
      <c r="J772" s="391" t="str">
        <f t="shared" si="62"/>
        <v/>
      </c>
      <c r="K772" s="391" t="str">
        <f t="shared" si="63"/>
        <v/>
      </c>
      <c r="O772" s="367" t="str">
        <v/>
      </c>
      <c r="S772" s="1" t="str">
        <v/>
      </c>
      <c r="AC772" s="367" t="str">
        <f t="shared" si="64"/>
        <v/>
      </c>
    </row>
    <row r="773" spans="1:29">
      <c r="A773" s="367" t="str">
        <v/>
      </c>
      <c r="H773" s="391" t="str">
        <f t="shared" si="60"/>
        <v/>
      </c>
      <c r="I773" s="391" t="str">
        <f t="shared" si="61"/>
        <v/>
      </c>
      <c r="J773" s="391" t="str">
        <f t="shared" si="62"/>
        <v/>
      </c>
      <c r="K773" s="391" t="str">
        <f t="shared" si="63"/>
        <v/>
      </c>
      <c r="O773" s="367" t="str">
        <v/>
      </c>
      <c r="S773" s="1" t="str">
        <v/>
      </c>
      <c r="AC773" s="367" t="str">
        <f t="shared" si="64"/>
        <v/>
      </c>
    </row>
    <row r="774" spans="1:29">
      <c r="A774" s="367" t="str">
        <v/>
      </c>
      <c r="H774" s="391" t="str">
        <f t="shared" si="60"/>
        <v/>
      </c>
      <c r="I774" s="391" t="str">
        <f t="shared" si="61"/>
        <v/>
      </c>
      <c r="J774" s="391" t="str">
        <f t="shared" si="62"/>
        <v/>
      </c>
      <c r="K774" s="391" t="str">
        <f t="shared" si="63"/>
        <v/>
      </c>
      <c r="O774" s="367" t="str">
        <v/>
      </c>
      <c r="S774" s="1" t="str">
        <v/>
      </c>
      <c r="AC774" s="367" t="str">
        <f t="shared" si="64"/>
        <v/>
      </c>
    </row>
    <row r="775" spans="1:29">
      <c r="A775" s="367" t="str">
        <v/>
      </c>
      <c r="H775" s="391" t="str">
        <f t="shared" si="60"/>
        <v/>
      </c>
      <c r="I775" s="391" t="str">
        <f t="shared" si="61"/>
        <v/>
      </c>
      <c r="J775" s="391" t="str">
        <f t="shared" si="62"/>
        <v/>
      </c>
      <c r="K775" s="391" t="str">
        <f t="shared" si="63"/>
        <v/>
      </c>
      <c r="O775" s="367" t="str">
        <v/>
      </c>
      <c r="S775" s="1" t="str">
        <v/>
      </c>
      <c r="AC775" s="367" t="str">
        <f t="shared" si="64"/>
        <v/>
      </c>
    </row>
    <row r="776" spans="1:29">
      <c r="A776" s="367" t="str">
        <v/>
      </c>
      <c r="H776" s="391" t="str">
        <f t="shared" si="60"/>
        <v/>
      </c>
      <c r="I776" s="391" t="str">
        <f t="shared" si="61"/>
        <v/>
      </c>
      <c r="J776" s="391" t="str">
        <f t="shared" si="62"/>
        <v/>
      </c>
      <c r="K776" s="391" t="str">
        <f t="shared" si="63"/>
        <v/>
      </c>
      <c r="O776" s="367" t="str">
        <v/>
      </c>
      <c r="S776" s="1" t="str">
        <v/>
      </c>
      <c r="AC776" s="367" t="str">
        <f t="shared" si="64"/>
        <v/>
      </c>
    </row>
    <row r="777" spans="1:29">
      <c r="A777" s="367" t="str">
        <v/>
      </c>
      <c r="H777" s="391" t="str">
        <f t="shared" si="60"/>
        <v/>
      </c>
      <c r="I777" s="391" t="str">
        <f t="shared" si="61"/>
        <v/>
      </c>
      <c r="J777" s="391" t="str">
        <f t="shared" si="62"/>
        <v/>
      </c>
      <c r="K777" s="391" t="str">
        <f t="shared" si="63"/>
        <v/>
      </c>
      <c r="O777" s="367" t="str">
        <v/>
      </c>
      <c r="S777" s="1" t="str">
        <v/>
      </c>
      <c r="AC777" s="367" t="str">
        <f t="shared" si="64"/>
        <v/>
      </c>
    </row>
    <row r="778" spans="1:29">
      <c r="A778" s="367" t="str">
        <v/>
      </c>
      <c r="H778" s="391" t="str">
        <f t="shared" si="60"/>
        <v/>
      </c>
      <c r="I778" s="391" t="str">
        <f t="shared" si="61"/>
        <v/>
      </c>
      <c r="J778" s="391" t="str">
        <f t="shared" si="62"/>
        <v/>
      </c>
      <c r="K778" s="391" t="str">
        <f t="shared" si="63"/>
        <v/>
      </c>
      <c r="O778" s="367" t="str">
        <v/>
      </c>
      <c r="S778" s="1" t="str">
        <v/>
      </c>
      <c r="AC778" s="367" t="str">
        <f t="shared" si="64"/>
        <v/>
      </c>
    </row>
    <row r="779" spans="1:29">
      <c r="A779" s="367" t="str">
        <v/>
      </c>
      <c r="H779" s="391" t="str">
        <f t="shared" si="60"/>
        <v/>
      </c>
      <c r="I779" s="391" t="str">
        <f t="shared" si="61"/>
        <v/>
      </c>
      <c r="J779" s="391" t="str">
        <f t="shared" si="62"/>
        <v/>
      </c>
      <c r="K779" s="391" t="str">
        <f t="shared" si="63"/>
        <v/>
      </c>
      <c r="O779" s="367" t="str">
        <v/>
      </c>
      <c r="S779" s="1" t="str">
        <v/>
      </c>
      <c r="AC779" s="367" t="str">
        <f t="shared" si="64"/>
        <v/>
      </c>
    </row>
    <row r="780" spans="1:29">
      <c r="A780" s="367" t="str">
        <v/>
      </c>
      <c r="H780" s="391" t="str">
        <f t="shared" si="60"/>
        <v/>
      </c>
      <c r="I780" s="391" t="str">
        <f t="shared" si="61"/>
        <v/>
      </c>
      <c r="J780" s="391" t="str">
        <f t="shared" si="62"/>
        <v/>
      </c>
      <c r="K780" s="391" t="str">
        <f t="shared" si="63"/>
        <v/>
      </c>
      <c r="O780" s="367" t="str">
        <v/>
      </c>
      <c r="S780" s="1" t="str">
        <v/>
      </c>
      <c r="AC780" s="367" t="str">
        <f t="shared" si="64"/>
        <v/>
      </c>
    </row>
    <row r="781" spans="1:29">
      <c r="A781" s="367" t="str">
        <v/>
      </c>
      <c r="H781" s="391" t="str">
        <f t="shared" si="60"/>
        <v/>
      </c>
      <c r="I781" s="391" t="str">
        <f t="shared" si="61"/>
        <v/>
      </c>
      <c r="J781" s="391" t="str">
        <f t="shared" si="62"/>
        <v/>
      </c>
      <c r="K781" s="391" t="str">
        <f t="shared" si="63"/>
        <v/>
      </c>
      <c r="O781" s="367" t="str">
        <v/>
      </c>
      <c r="S781" s="1" t="str">
        <v/>
      </c>
      <c r="AC781" s="367" t="str">
        <f t="shared" si="64"/>
        <v/>
      </c>
    </row>
    <row r="782" spans="1:29">
      <c r="A782" s="367" t="str">
        <v/>
      </c>
      <c r="H782" s="391" t="str">
        <f t="shared" si="60"/>
        <v/>
      </c>
      <c r="I782" s="391" t="str">
        <f t="shared" si="61"/>
        <v/>
      </c>
      <c r="J782" s="391" t="str">
        <f t="shared" si="62"/>
        <v/>
      </c>
      <c r="K782" s="391" t="str">
        <f t="shared" si="63"/>
        <v/>
      </c>
      <c r="O782" s="367" t="str">
        <v/>
      </c>
      <c r="S782" s="1" t="str">
        <v/>
      </c>
      <c r="AC782" s="367" t="str">
        <f t="shared" si="64"/>
        <v/>
      </c>
    </row>
    <row r="783" spans="1:29">
      <c r="A783" s="367" t="str">
        <v/>
      </c>
      <c r="H783" s="391" t="str">
        <f t="shared" si="60"/>
        <v/>
      </c>
      <c r="I783" s="391" t="str">
        <f t="shared" si="61"/>
        <v/>
      </c>
      <c r="J783" s="391" t="str">
        <f t="shared" si="62"/>
        <v/>
      </c>
      <c r="K783" s="391" t="str">
        <f t="shared" si="63"/>
        <v/>
      </c>
      <c r="O783" s="367" t="str">
        <v/>
      </c>
      <c r="S783" s="1" t="str">
        <v/>
      </c>
      <c r="AC783" s="367" t="str">
        <f t="shared" si="64"/>
        <v/>
      </c>
    </row>
    <row r="784" spans="1:29">
      <c r="A784" s="367" t="str">
        <v/>
      </c>
      <c r="H784" s="391" t="str">
        <f t="shared" si="60"/>
        <v/>
      </c>
      <c r="I784" s="391" t="str">
        <f t="shared" si="61"/>
        <v/>
      </c>
      <c r="J784" s="391" t="str">
        <f t="shared" si="62"/>
        <v/>
      </c>
      <c r="K784" s="391" t="str">
        <f t="shared" si="63"/>
        <v/>
      </c>
      <c r="O784" s="367" t="str">
        <v/>
      </c>
      <c r="S784" s="1" t="str">
        <v/>
      </c>
      <c r="AC784" s="367" t="str">
        <f t="shared" si="64"/>
        <v/>
      </c>
    </row>
    <row r="785" spans="1:29">
      <c r="A785" s="367" t="str">
        <v/>
      </c>
      <c r="H785" s="391" t="str">
        <f t="shared" si="60"/>
        <v/>
      </c>
      <c r="I785" s="391" t="str">
        <f t="shared" si="61"/>
        <v/>
      </c>
      <c r="J785" s="391" t="str">
        <f t="shared" si="62"/>
        <v/>
      </c>
      <c r="K785" s="391" t="str">
        <f t="shared" si="63"/>
        <v/>
      </c>
      <c r="O785" s="367" t="str">
        <v/>
      </c>
      <c r="S785" s="1" t="str">
        <v/>
      </c>
      <c r="AC785" s="367" t="str">
        <f t="shared" si="64"/>
        <v/>
      </c>
    </row>
    <row r="786" spans="1:29">
      <c r="A786" s="367" t="str">
        <v/>
      </c>
      <c r="H786" s="391" t="str">
        <f t="shared" si="60"/>
        <v/>
      </c>
      <c r="I786" s="391" t="str">
        <f t="shared" si="61"/>
        <v/>
      </c>
      <c r="J786" s="391" t="str">
        <f t="shared" si="62"/>
        <v/>
      </c>
      <c r="K786" s="391" t="str">
        <f t="shared" si="63"/>
        <v/>
      </c>
      <c r="O786" s="367" t="str">
        <v/>
      </c>
      <c r="S786" s="1" t="str">
        <v/>
      </c>
      <c r="AC786" s="367" t="str">
        <f t="shared" si="64"/>
        <v/>
      </c>
    </row>
    <row r="787" spans="1:29">
      <c r="A787" s="367" t="str">
        <v/>
      </c>
      <c r="H787" s="391" t="str">
        <f t="shared" si="60"/>
        <v/>
      </c>
      <c r="I787" s="391" t="str">
        <f t="shared" si="61"/>
        <v/>
      </c>
      <c r="J787" s="391" t="str">
        <f t="shared" si="62"/>
        <v/>
      </c>
      <c r="K787" s="391" t="str">
        <f t="shared" si="63"/>
        <v/>
      </c>
      <c r="O787" s="367" t="str">
        <v/>
      </c>
      <c r="S787" s="1" t="str">
        <v/>
      </c>
      <c r="AC787" s="367" t="str">
        <f t="shared" si="64"/>
        <v/>
      </c>
    </row>
    <row r="788" spans="1:29">
      <c r="A788" s="367" t="str">
        <v/>
      </c>
      <c r="H788" s="391" t="str">
        <f t="shared" si="60"/>
        <v/>
      </c>
      <c r="I788" s="391" t="str">
        <f t="shared" si="61"/>
        <v/>
      </c>
      <c r="J788" s="391" t="str">
        <f t="shared" si="62"/>
        <v/>
      </c>
      <c r="K788" s="391" t="str">
        <f t="shared" si="63"/>
        <v/>
      </c>
      <c r="O788" s="367" t="str">
        <v/>
      </c>
      <c r="S788" s="1" t="str">
        <v/>
      </c>
      <c r="AC788" s="367" t="str">
        <f t="shared" si="64"/>
        <v/>
      </c>
    </row>
    <row r="789" spans="1:29">
      <c r="A789" s="367" t="str">
        <v/>
      </c>
      <c r="H789" s="391" t="str">
        <f t="shared" si="60"/>
        <v/>
      </c>
      <c r="I789" s="391" t="str">
        <f t="shared" si="61"/>
        <v/>
      </c>
      <c r="J789" s="391" t="str">
        <f t="shared" si="62"/>
        <v/>
      </c>
      <c r="K789" s="391" t="str">
        <f t="shared" si="63"/>
        <v/>
      </c>
      <c r="O789" s="367" t="str">
        <v/>
      </c>
      <c r="S789" s="1" t="str">
        <v/>
      </c>
      <c r="AC789" s="367" t="str">
        <f t="shared" si="64"/>
        <v/>
      </c>
    </row>
    <row r="790" spans="1:29">
      <c r="A790" s="367" t="str">
        <v/>
      </c>
      <c r="H790" s="391" t="str">
        <f t="shared" si="60"/>
        <v/>
      </c>
      <c r="I790" s="391" t="str">
        <f t="shared" si="61"/>
        <v/>
      </c>
      <c r="J790" s="391" t="str">
        <f t="shared" si="62"/>
        <v/>
      </c>
      <c r="K790" s="391" t="str">
        <f t="shared" si="63"/>
        <v/>
      </c>
      <c r="O790" s="367" t="str">
        <v/>
      </c>
      <c r="S790" s="1" t="str">
        <v/>
      </c>
      <c r="AC790" s="367" t="str">
        <f t="shared" si="64"/>
        <v/>
      </c>
    </row>
    <row r="791" spans="1:29">
      <c r="A791" s="367" t="str">
        <v/>
      </c>
      <c r="H791" s="391" t="str">
        <f t="shared" ref="H791:H854" si="65">IF($C791="","",ROUND((($B$2*$F791*($B$5/1000))/$B$6)*(1+IF($B$18="",0,$B$18)),2))</f>
        <v/>
      </c>
      <c r="I791" s="391" t="str">
        <f t="shared" ref="I791:I854" si="66">IF($C791="","",ROUND((($B$3*$F791*($B$5/1000))/$B$6)*(1+IF($B$18="",0,$B$18)),2))</f>
        <v/>
      </c>
      <c r="J791" s="391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1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7" t="str">
        <v/>
      </c>
      <c r="S791" s="1" t="str">
        <v/>
      </c>
      <c r="AC791" s="367" t="str">
        <f t="shared" si="64"/>
        <v/>
      </c>
    </row>
    <row r="792" spans="1:29">
      <c r="A792" s="367" t="str">
        <v/>
      </c>
      <c r="H792" s="391" t="str">
        <f t="shared" si="65"/>
        <v/>
      </c>
      <c r="I792" s="391" t="str">
        <f t="shared" si="66"/>
        <v/>
      </c>
      <c r="J792" s="391" t="str">
        <f t="shared" si="67"/>
        <v/>
      </c>
      <c r="K792" s="391" t="str">
        <f t="shared" si="68"/>
        <v/>
      </c>
      <c r="O792" s="367" t="str">
        <v/>
      </c>
      <c r="S792" s="1" t="str">
        <v/>
      </c>
      <c r="AC792" s="367" t="str">
        <f t="shared" si="64"/>
        <v/>
      </c>
    </row>
    <row r="793" spans="1:29">
      <c r="A793" s="367" t="str">
        <v/>
      </c>
      <c r="H793" s="391" t="str">
        <f t="shared" si="65"/>
        <v/>
      </c>
      <c r="I793" s="391" t="str">
        <f t="shared" si="66"/>
        <v/>
      </c>
      <c r="J793" s="391" t="str">
        <f t="shared" si="67"/>
        <v/>
      </c>
      <c r="K793" s="391" t="str">
        <f t="shared" si="68"/>
        <v/>
      </c>
      <c r="O793" s="367" t="str">
        <v/>
      </c>
      <c r="S793" s="1" t="str">
        <v/>
      </c>
      <c r="AC793" s="367" t="str">
        <f t="shared" si="64"/>
        <v/>
      </c>
    </row>
    <row r="794" spans="1:29">
      <c r="A794" s="367" t="str">
        <v/>
      </c>
      <c r="H794" s="391" t="str">
        <f t="shared" si="65"/>
        <v/>
      </c>
      <c r="I794" s="391" t="str">
        <f t="shared" si="66"/>
        <v/>
      </c>
      <c r="J794" s="391" t="str">
        <f t="shared" si="67"/>
        <v/>
      </c>
      <c r="K794" s="391" t="str">
        <f t="shared" si="68"/>
        <v/>
      </c>
      <c r="O794" s="367" t="str">
        <v/>
      </c>
      <c r="S794" s="1" t="str">
        <v/>
      </c>
      <c r="AC794" s="367" t="str">
        <f t="shared" si="64"/>
        <v/>
      </c>
    </row>
    <row r="795" spans="1:29">
      <c r="A795" s="367" t="str">
        <v/>
      </c>
      <c r="H795" s="391" t="str">
        <f t="shared" si="65"/>
        <v/>
      </c>
      <c r="I795" s="391" t="str">
        <f t="shared" si="66"/>
        <v/>
      </c>
      <c r="J795" s="391" t="str">
        <f t="shared" si="67"/>
        <v/>
      </c>
      <c r="K795" s="391" t="str">
        <f t="shared" si="68"/>
        <v/>
      </c>
      <c r="O795" s="367" t="str">
        <v/>
      </c>
      <c r="S795" s="1" t="str">
        <v/>
      </c>
      <c r="AC795" s="367" t="str">
        <f t="shared" si="64"/>
        <v/>
      </c>
    </row>
    <row r="796" spans="1:29">
      <c r="A796" s="367" t="str">
        <v/>
      </c>
      <c r="H796" s="391" t="str">
        <f t="shared" si="65"/>
        <v/>
      </c>
      <c r="I796" s="391" t="str">
        <f t="shared" si="66"/>
        <v/>
      </c>
      <c r="J796" s="391" t="str">
        <f t="shared" si="67"/>
        <v/>
      </c>
      <c r="K796" s="391" t="str">
        <f t="shared" si="68"/>
        <v/>
      </c>
      <c r="O796" s="367" t="str">
        <v/>
      </c>
      <c r="S796" s="1" t="str">
        <v/>
      </c>
      <c r="AC796" s="367" t="str">
        <f t="shared" si="64"/>
        <v/>
      </c>
    </row>
    <row r="797" spans="1:29">
      <c r="A797" s="367" t="str">
        <v/>
      </c>
      <c r="H797" s="391" t="str">
        <f t="shared" si="65"/>
        <v/>
      </c>
      <c r="I797" s="391" t="str">
        <f t="shared" si="66"/>
        <v/>
      </c>
      <c r="J797" s="391" t="str">
        <f t="shared" si="67"/>
        <v/>
      </c>
      <c r="K797" s="391" t="str">
        <f t="shared" si="68"/>
        <v/>
      </c>
      <c r="O797" s="367" t="str">
        <v/>
      </c>
      <c r="S797" s="1" t="str">
        <v/>
      </c>
      <c r="AC797" s="367" t="str">
        <f t="shared" si="64"/>
        <v/>
      </c>
    </row>
    <row r="798" spans="1:29">
      <c r="A798" s="367" t="str">
        <v/>
      </c>
      <c r="H798" s="391" t="str">
        <f t="shared" si="65"/>
        <v/>
      </c>
      <c r="I798" s="391" t="str">
        <f t="shared" si="66"/>
        <v/>
      </c>
      <c r="J798" s="391" t="str">
        <f t="shared" si="67"/>
        <v/>
      </c>
      <c r="K798" s="391" t="str">
        <f t="shared" si="68"/>
        <v/>
      </c>
      <c r="O798" s="367" t="str">
        <v/>
      </c>
      <c r="S798" s="1" t="str">
        <v/>
      </c>
      <c r="AC798" s="367" t="str">
        <f t="shared" si="64"/>
        <v/>
      </c>
    </row>
    <row r="799" spans="1:29">
      <c r="A799" s="367" t="str">
        <v/>
      </c>
      <c r="H799" s="391" t="str">
        <f t="shared" si="65"/>
        <v/>
      </c>
      <c r="I799" s="391" t="str">
        <f t="shared" si="66"/>
        <v/>
      </c>
      <c r="J799" s="391" t="str">
        <f t="shared" si="67"/>
        <v/>
      </c>
      <c r="K799" s="391" t="str">
        <f t="shared" si="68"/>
        <v/>
      </c>
      <c r="O799" s="367" t="str">
        <v/>
      </c>
      <c r="S799" s="1" t="str">
        <v/>
      </c>
      <c r="AC799" s="367" t="str">
        <f t="shared" si="64"/>
        <v/>
      </c>
    </row>
    <row r="800" spans="1:29">
      <c r="A800" s="367" t="str">
        <v/>
      </c>
      <c r="H800" s="391" t="str">
        <f t="shared" si="65"/>
        <v/>
      </c>
      <c r="I800" s="391" t="str">
        <f t="shared" si="66"/>
        <v/>
      </c>
      <c r="J800" s="391" t="str">
        <f t="shared" si="67"/>
        <v/>
      </c>
      <c r="K800" s="391" t="str">
        <f t="shared" si="68"/>
        <v/>
      </c>
      <c r="O800" s="367" t="str">
        <v/>
      </c>
      <c r="S800" s="1" t="str">
        <v/>
      </c>
      <c r="AC800" s="367" t="str">
        <f t="shared" si="64"/>
        <v/>
      </c>
    </row>
    <row r="801" spans="1:29">
      <c r="A801" s="367" t="str">
        <v/>
      </c>
      <c r="H801" s="391" t="str">
        <f t="shared" si="65"/>
        <v/>
      </c>
      <c r="I801" s="391" t="str">
        <f t="shared" si="66"/>
        <v/>
      </c>
      <c r="J801" s="391" t="str">
        <f t="shared" si="67"/>
        <v/>
      </c>
      <c r="K801" s="391" t="str">
        <f t="shared" si="68"/>
        <v/>
      </c>
      <c r="O801" s="367" t="str">
        <v/>
      </c>
      <c r="S801" s="1" t="str">
        <v/>
      </c>
      <c r="AC801" s="367" t="str">
        <f t="shared" si="64"/>
        <v/>
      </c>
    </row>
    <row r="802" spans="1:29">
      <c r="A802" s="367" t="str">
        <v/>
      </c>
      <c r="H802" s="391" t="str">
        <f t="shared" si="65"/>
        <v/>
      </c>
      <c r="I802" s="391" t="str">
        <f t="shared" si="66"/>
        <v/>
      </c>
      <c r="J802" s="391" t="str">
        <f t="shared" si="67"/>
        <v/>
      </c>
      <c r="K802" s="391" t="str">
        <f t="shared" si="68"/>
        <v/>
      </c>
      <c r="O802" s="367" t="str">
        <v/>
      </c>
      <c r="S802" s="1" t="str">
        <v/>
      </c>
      <c r="AC802" s="367" t="str">
        <f t="shared" si="64"/>
        <v/>
      </c>
    </row>
    <row r="803" spans="1:29">
      <c r="A803" s="367" t="str">
        <v/>
      </c>
      <c r="H803" s="391" t="str">
        <f t="shared" si="65"/>
        <v/>
      </c>
      <c r="I803" s="391" t="str">
        <f t="shared" si="66"/>
        <v/>
      </c>
      <c r="J803" s="391" t="str">
        <f t="shared" si="67"/>
        <v/>
      </c>
      <c r="K803" s="391" t="str">
        <f t="shared" si="68"/>
        <v/>
      </c>
      <c r="O803" s="367" t="str">
        <v/>
      </c>
      <c r="S803" s="1" t="str">
        <v/>
      </c>
      <c r="AC803" s="367" t="str">
        <f t="shared" si="64"/>
        <v/>
      </c>
    </row>
    <row r="804" spans="1:29">
      <c r="A804" s="367" t="str">
        <v/>
      </c>
      <c r="H804" s="391" t="str">
        <f t="shared" si="65"/>
        <v/>
      </c>
      <c r="I804" s="391" t="str">
        <f t="shared" si="66"/>
        <v/>
      </c>
      <c r="J804" s="391" t="str">
        <f t="shared" si="67"/>
        <v/>
      </c>
      <c r="K804" s="391" t="str">
        <f t="shared" si="68"/>
        <v/>
      </c>
      <c r="O804" s="367" t="str">
        <v/>
      </c>
      <c r="S804" s="1" t="str">
        <v/>
      </c>
      <c r="AC804" s="367" t="str">
        <f t="shared" si="64"/>
        <v/>
      </c>
    </row>
    <row r="805" spans="1:29">
      <c r="A805" s="367" t="str">
        <v/>
      </c>
      <c r="H805" s="391" t="str">
        <f t="shared" si="65"/>
        <v/>
      </c>
      <c r="I805" s="391" t="str">
        <f t="shared" si="66"/>
        <v/>
      </c>
      <c r="J805" s="391" t="str">
        <f t="shared" si="67"/>
        <v/>
      </c>
      <c r="K805" s="391" t="str">
        <f t="shared" si="68"/>
        <v/>
      </c>
      <c r="O805" s="367" t="str">
        <v/>
      </c>
      <c r="S805" s="1" t="str">
        <v/>
      </c>
      <c r="AC805" s="367" t="str">
        <f t="shared" si="64"/>
        <v/>
      </c>
    </row>
    <row r="806" spans="1:29">
      <c r="A806" s="367" t="str">
        <v/>
      </c>
      <c r="H806" s="391" t="str">
        <f t="shared" si="65"/>
        <v/>
      </c>
      <c r="I806" s="391" t="str">
        <f t="shared" si="66"/>
        <v/>
      </c>
      <c r="J806" s="391" t="str">
        <f t="shared" si="67"/>
        <v/>
      </c>
      <c r="K806" s="391" t="str">
        <f t="shared" si="68"/>
        <v/>
      </c>
      <c r="O806" s="367" t="str">
        <v/>
      </c>
      <c r="S806" s="1" t="str">
        <v/>
      </c>
      <c r="AC806" s="367" t="str">
        <f t="shared" si="64"/>
        <v/>
      </c>
    </row>
    <row r="807" spans="1:29">
      <c r="A807" s="367" t="str">
        <v/>
      </c>
      <c r="H807" s="391" t="str">
        <f t="shared" si="65"/>
        <v/>
      </c>
      <c r="I807" s="391" t="str">
        <f t="shared" si="66"/>
        <v/>
      </c>
      <c r="J807" s="391" t="str">
        <f t="shared" si="67"/>
        <v/>
      </c>
      <c r="K807" s="391" t="str">
        <f t="shared" si="68"/>
        <v/>
      </c>
      <c r="O807" s="367" t="str">
        <v/>
      </c>
      <c r="S807" s="1" t="str">
        <v/>
      </c>
      <c r="AC807" s="367" t="str">
        <f t="shared" si="64"/>
        <v/>
      </c>
    </row>
    <row r="808" spans="1:29">
      <c r="A808" s="367" t="str">
        <v/>
      </c>
      <c r="H808" s="391" t="str">
        <f t="shared" si="65"/>
        <v/>
      </c>
      <c r="I808" s="391" t="str">
        <f t="shared" si="66"/>
        <v/>
      </c>
      <c r="J808" s="391" t="str">
        <f t="shared" si="67"/>
        <v/>
      </c>
      <c r="K808" s="391" t="str">
        <f t="shared" si="68"/>
        <v/>
      </c>
      <c r="O808" s="367" t="str">
        <v/>
      </c>
      <c r="S808" s="1" t="str">
        <v/>
      </c>
      <c r="AC808" s="367" t="str">
        <f t="shared" si="64"/>
        <v/>
      </c>
    </row>
    <row r="809" spans="1:29">
      <c r="A809" s="367" t="str">
        <v/>
      </c>
      <c r="H809" s="391" t="str">
        <f t="shared" si="65"/>
        <v/>
      </c>
      <c r="I809" s="391" t="str">
        <f t="shared" si="66"/>
        <v/>
      </c>
      <c r="J809" s="391" t="str">
        <f t="shared" si="67"/>
        <v/>
      </c>
      <c r="K809" s="391" t="str">
        <f t="shared" si="68"/>
        <v/>
      </c>
      <c r="O809" s="367" t="str">
        <v/>
      </c>
      <c r="S809" s="1" t="str">
        <v/>
      </c>
      <c r="AC809" s="367" t="str">
        <f t="shared" si="64"/>
        <v/>
      </c>
    </row>
    <row r="810" spans="1:29">
      <c r="A810" s="367" t="str">
        <v/>
      </c>
      <c r="H810" s="391" t="str">
        <f t="shared" si="65"/>
        <v/>
      </c>
      <c r="I810" s="391" t="str">
        <f t="shared" si="66"/>
        <v/>
      </c>
      <c r="J810" s="391" t="str">
        <f t="shared" si="67"/>
        <v/>
      </c>
      <c r="K810" s="391" t="str">
        <f t="shared" si="68"/>
        <v/>
      </c>
      <c r="O810" s="367" t="str">
        <v/>
      </c>
      <c r="S810" s="1" t="str">
        <v/>
      </c>
      <c r="AC810" s="367" t="str">
        <f t="shared" si="64"/>
        <v/>
      </c>
    </row>
    <row r="811" spans="1:29">
      <c r="A811" s="367" t="str">
        <v/>
      </c>
      <c r="H811" s="391" t="str">
        <f t="shared" si="65"/>
        <v/>
      </c>
      <c r="I811" s="391" t="str">
        <f t="shared" si="66"/>
        <v/>
      </c>
      <c r="J811" s="391" t="str">
        <f t="shared" si="67"/>
        <v/>
      </c>
      <c r="K811" s="391" t="str">
        <f t="shared" si="68"/>
        <v/>
      </c>
      <c r="O811" s="367" t="str">
        <v/>
      </c>
      <c r="S811" s="1" t="str">
        <v/>
      </c>
      <c r="AC811" s="367" t="str">
        <f t="shared" si="64"/>
        <v/>
      </c>
    </row>
    <row r="812" spans="1:29">
      <c r="A812" s="367" t="str">
        <v/>
      </c>
      <c r="H812" s="391" t="str">
        <f t="shared" si="65"/>
        <v/>
      </c>
      <c r="I812" s="391" t="str">
        <f t="shared" si="66"/>
        <v/>
      </c>
      <c r="J812" s="391" t="str">
        <f t="shared" si="67"/>
        <v/>
      </c>
      <c r="K812" s="391" t="str">
        <f t="shared" si="68"/>
        <v/>
      </c>
      <c r="O812" s="367" t="str">
        <v/>
      </c>
      <c r="S812" s="1" t="str">
        <v/>
      </c>
      <c r="AC812" s="367" t="str">
        <f t="shared" si="64"/>
        <v/>
      </c>
    </row>
    <row r="813" spans="1:29">
      <c r="A813" s="367" t="str">
        <v/>
      </c>
      <c r="H813" s="391" t="str">
        <f t="shared" si="65"/>
        <v/>
      </c>
      <c r="I813" s="391" t="str">
        <f t="shared" si="66"/>
        <v/>
      </c>
      <c r="J813" s="391" t="str">
        <f t="shared" si="67"/>
        <v/>
      </c>
      <c r="K813" s="391" t="str">
        <f t="shared" si="68"/>
        <v/>
      </c>
      <c r="O813" s="367" t="str">
        <v/>
      </c>
      <c r="S813" s="1" t="str">
        <v/>
      </c>
      <c r="AC813" s="367" t="str">
        <f t="shared" si="64"/>
        <v/>
      </c>
    </row>
    <row r="814" spans="1:29">
      <c r="A814" s="367" t="str">
        <v/>
      </c>
      <c r="H814" s="391" t="str">
        <f t="shared" si="65"/>
        <v/>
      </c>
      <c r="I814" s="391" t="str">
        <f t="shared" si="66"/>
        <v/>
      </c>
      <c r="J814" s="391" t="str">
        <f t="shared" si="67"/>
        <v/>
      </c>
      <c r="K814" s="391" t="str">
        <f t="shared" si="68"/>
        <v/>
      </c>
      <c r="O814" s="367" t="str">
        <v/>
      </c>
      <c r="S814" s="1" t="str">
        <v/>
      </c>
      <c r="AC814" s="367" t="str">
        <f t="shared" si="64"/>
        <v/>
      </c>
    </row>
    <row r="815" spans="1:29">
      <c r="A815" s="367" t="str">
        <v/>
      </c>
      <c r="H815" s="391" t="str">
        <f t="shared" si="65"/>
        <v/>
      </c>
      <c r="I815" s="391" t="str">
        <f t="shared" si="66"/>
        <v/>
      </c>
      <c r="J815" s="391" t="str">
        <f t="shared" si="67"/>
        <v/>
      </c>
      <c r="K815" s="391" t="str">
        <f t="shared" si="68"/>
        <v/>
      </c>
      <c r="O815" s="367" t="str">
        <v/>
      </c>
      <c r="S815" s="1" t="str">
        <v/>
      </c>
      <c r="AC815" s="367" t="str">
        <f t="shared" si="64"/>
        <v/>
      </c>
    </row>
    <row r="816" spans="1:29">
      <c r="A816" s="367" t="str">
        <v/>
      </c>
      <c r="H816" s="391" t="str">
        <f t="shared" si="65"/>
        <v/>
      </c>
      <c r="I816" s="391" t="str">
        <f t="shared" si="66"/>
        <v/>
      </c>
      <c r="J816" s="391" t="str">
        <f t="shared" si="67"/>
        <v/>
      </c>
      <c r="K816" s="391" t="str">
        <f t="shared" si="68"/>
        <v/>
      </c>
      <c r="O816" s="367" t="str">
        <v/>
      </c>
      <c r="S816" s="1" t="str">
        <v/>
      </c>
      <c r="AC816" s="367" t="str">
        <f t="shared" ref="AC816:AC879" si="69">IF($AB816&lt;&gt;"",$AB816,IFERROR(ROUNDUP($Z816/$Y816,1),""))</f>
        <v/>
      </c>
    </row>
    <row r="817" spans="1:29">
      <c r="A817" s="367" t="str">
        <v/>
      </c>
      <c r="H817" s="391" t="str">
        <f t="shared" si="65"/>
        <v/>
      </c>
      <c r="I817" s="391" t="str">
        <f t="shared" si="66"/>
        <v/>
      </c>
      <c r="J817" s="391" t="str">
        <f t="shared" si="67"/>
        <v/>
      </c>
      <c r="K817" s="391" t="str">
        <f t="shared" si="68"/>
        <v/>
      </c>
      <c r="O817" s="367" t="str">
        <v/>
      </c>
      <c r="S817" s="1" t="str">
        <v/>
      </c>
      <c r="AC817" s="367" t="str">
        <f t="shared" si="69"/>
        <v/>
      </c>
    </row>
    <row r="818" spans="1:29">
      <c r="A818" s="367" t="str">
        <v/>
      </c>
      <c r="H818" s="391" t="str">
        <f t="shared" si="65"/>
        <v/>
      </c>
      <c r="I818" s="391" t="str">
        <f t="shared" si="66"/>
        <v/>
      </c>
      <c r="J818" s="391" t="str">
        <f t="shared" si="67"/>
        <v/>
      </c>
      <c r="K818" s="391" t="str">
        <f t="shared" si="68"/>
        <v/>
      </c>
      <c r="O818" s="367" t="str">
        <v/>
      </c>
      <c r="S818" s="1" t="str">
        <v/>
      </c>
      <c r="AC818" s="367" t="str">
        <f t="shared" si="69"/>
        <v/>
      </c>
    </row>
    <row r="819" spans="1:29">
      <c r="A819" s="367" t="str">
        <v/>
      </c>
      <c r="H819" s="391" t="str">
        <f t="shared" si="65"/>
        <v/>
      </c>
      <c r="I819" s="391" t="str">
        <f t="shared" si="66"/>
        <v/>
      </c>
      <c r="J819" s="391" t="str">
        <f t="shared" si="67"/>
        <v/>
      </c>
      <c r="K819" s="391" t="str">
        <f t="shared" si="68"/>
        <v/>
      </c>
      <c r="O819" s="367" t="str">
        <v/>
      </c>
      <c r="S819" s="1" t="str">
        <v/>
      </c>
      <c r="AC819" s="367" t="str">
        <f t="shared" si="69"/>
        <v/>
      </c>
    </row>
    <row r="820" spans="1:29">
      <c r="A820" s="367" t="str">
        <v/>
      </c>
      <c r="H820" s="391" t="str">
        <f t="shared" si="65"/>
        <v/>
      </c>
      <c r="I820" s="391" t="str">
        <f t="shared" si="66"/>
        <v/>
      </c>
      <c r="J820" s="391" t="str">
        <f t="shared" si="67"/>
        <v/>
      </c>
      <c r="K820" s="391" t="str">
        <f t="shared" si="68"/>
        <v/>
      </c>
      <c r="O820" s="367" t="str">
        <v/>
      </c>
      <c r="S820" s="1" t="str">
        <v/>
      </c>
      <c r="AC820" s="367" t="str">
        <f t="shared" si="69"/>
        <v/>
      </c>
    </row>
    <row r="821" spans="1:29">
      <c r="A821" s="367" t="str">
        <v/>
      </c>
      <c r="H821" s="391" t="str">
        <f t="shared" si="65"/>
        <v/>
      </c>
      <c r="I821" s="391" t="str">
        <f t="shared" si="66"/>
        <v/>
      </c>
      <c r="J821" s="391" t="str">
        <f t="shared" si="67"/>
        <v/>
      </c>
      <c r="K821" s="391" t="str">
        <f t="shared" si="68"/>
        <v/>
      </c>
      <c r="O821" s="367" t="str">
        <v/>
      </c>
      <c r="S821" s="1" t="str">
        <v/>
      </c>
      <c r="AC821" s="367" t="str">
        <f t="shared" si="69"/>
        <v/>
      </c>
    </row>
    <row r="822" spans="1:29">
      <c r="A822" s="367" t="str">
        <v/>
      </c>
      <c r="H822" s="391" t="str">
        <f t="shared" si="65"/>
        <v/>
      </c>
      <c r="I822" s="391" t="str">
        <f t="shared" si="66"/>
        <v/>
      </c>
      <c r="J822" s="391" t="str">
        <f t="shared" si="67"/>
        <v/>
      </c>
      <c r="K822" s="391" t="str">
        <f t="shared" si="68"/>
        <v/>
      </c>
      <c r="O822" s="367" t="str">
        <v/>
      </c>
      <c r="S822" s="1" t="str">
        <v/>
      </c>
      <c r="AC822" s="367" t="str">
        <f t="shared" si="69"/>
        <v/>
      </c>
    </row>
    <row r="823" spans="1:29">
      <c r="A823" s="367" t="str">
        <v/>
      </c>
      <c r="H823" s="391" t="str">
        <f t="shared" si="65"/>
        <v/>
      </c>
      <c r="I823" s="391" t="str">
        <f t="shared" si="66"/>
        <v/>
      </c>
      <c r="J823" s="391" t="str">
        <f t="shared" si="67"/>
        <v/>
      </c>
      <c r="K823" s="391" t="str">
        <f t="shared" si="68"/>
        <v/>
      </c>
      <c r="O823" s="367" t="str">
        <v/>
      </c>
      <c r="S823" s="1" t="str">
        <v/>
      </c>
      <c r="AC823" s="367" t="str">
        <f t="shared" si="69"/>
        <v/>
      </c>
    </row>
    <row r="824" spans="1:29">
      <c r="A824" s="367" t="str">
        <v/>
      </c>
      <c r="H824" s="391" t="str">
        <f t="shared" si="65"/>
        <v/>
      </c>
      <c r="I824" s="391" t="str">
        <f t="shared" si="66"/>
        <v/>
      </c>
      <c r="J824" s="391" t="str">
        <f t="shared" si="67"/>
        <v/>
      </c>
      <c r="K824" s="391" t="str">
        <f t="shared" si="68"/>
        <v/>
      </c>
      <c r="O824" s="367" t="str">
        <v/>
      </c>
      <c r="S824" s="1" t="str">
        <v/>
      </c>
      <c r="AC824" s="367" t="str">
        <f t="shared" si="69"/>
        <v/>
      </c>
    </row>
    <row r="825" spans="1:29">
      <c r="A825" s="367" t="str">
        <v/>
      </c>
      <c r="H825" s="391" t="str">
        <f t="shared" si="65"/>
        <v/>
      </c>
      <c r="I825" s="391" t="str">
        <f t="shared" si="66"/>
        <v/>
      </c>
      <c r="J825" s="391" t="str">
        <f t="shared" si="67"/>
        <v/>
      </c>
      <c r="K825" s="391" t="str">
        <f t="shared" si="68"/>
        <v/>
      </c>
      <c r="O825" s="367" t="str">
        <v/>
      </c>
      <c r="S825" s="1" t="str">
        <v/>
      </c>
      <c r="AC825" s="367" t="str">
        <f t="shared" si="69"/>
        <v/>
      </c>
    </row>
    <row r="826" spans="1:29">
      <c r="A826" s="367" t="str">
        <v/>
      </c>
      <c r="H826" s="391" t="str">
        <f t="shared" si="65"/>
        <v/>
      </c>
      <c r="I826" s="391" t="str">
        <f t="shared" si="66"/>
        <v/>
      </c>
      <c r="J826" s="391" t="str">
        <f t="shared" si="67"/>
        <v/>
      </c>
      <c r="K826" s="391" t="str">
        <f t="shared" si="68"/>
        <v/>
      </c>
      <c r="O826" s="367" t="str">
        <v/>
      </c>
      <c r="S826" s="1" t="str">
        <v/>
      </c>
      <c r="AC826" s="367" t="str">
        <f t="shared" si="69"/>
        <v/>
      </c>
    </row>
    <row r="827" spans="1:29">
      <c r="A827" s="367" t="str">
        <v/>
      </c>
      <c r="H827" s="391" t="str">
        <f t="shared" si="65"/>
        <v/>
      </c>
      <c r="I827" s="391" t="str">
        <f t="shared" si="66"/>
        <v/>
      </c>
      <c r="J827" s="391" t="str">
        <f t="shared" si="67"/>
        <v/>
      </c>
      <c r="K827" s="391" t="str">
        <f t="shared" si="68"/>
        <v/>
      </c>
      <c r="O827" s="367" t="str">
        <v/>
      </c>
      <c r="S827" s="1" t="str">
        <v/>
      </c>
      <c r="AC827" s="367" t="str">
        <f t="shared" si="69"/>
        <v/>
      </c>
    </row>
    <row r="828" spans="1:29">
      <c r="A828" s="367" t="str">
        <v/>
      </c>
      <c r="H828" s="391" t="str">
        <f t="shared" si="65"/>
        <v/>
      </c>
      <c r="I828" s="391" t="str">
        <f t="shared" si="66"/>
        <v/>
      </c>
      <c r="J828" s="391" t="str">
        <f t="shared" si="67"/>
        <v/>
      </c>
      <c r="K828" s="391" t="str">
        <f t="shared" si="68"/>
        <v/>
      </c>
      <c r="O828" s="367" t="str">
        <v/>
      </c>
      <c r="S828" s="1" t="str">
        <v/>
      </c>
      <c r="AC828" s="367" t="str">
        <f t="shared" si="69"/>
        <v/>
      </c>
    </row>
    <row r="829" spans="1:29">
      <c r="A829" s="367" t="str">
        <v/>
      </c>
      <c r="H829" s="391" t="str">
        <f t="shared" si="65"/>
        <v/>
      </c>
      <c r="I829" s="391" t="str">
        <f t="shared" si="66"/>
        <v/>
      </c>
      <c r="J829" s="391" t="str">
        <f t="shared" si="67"/>
        <v/>
      </c>
      <c r="K829" s="391" t="str">
        <f t="shared" si="68"/>
        <v/>
      </c>
      <c r="O829" s="367" t="str">
        <v/>
      </c>
      <c r="S829" s="1" t="str">
        <v/>
      </c>
      <c r="AC829" s="367" t="str">
        <f t="shared" si="69"/>
        <v/>
      </c>
    </row>
    <row r="830" spans="1:29">
      <c r="A830" s="367" t="str">
        <v/>
      </c>
      <c r="H830" s="391" t="str">
        <f t="shared" si="65"/>
        <v/>
      </c>
      <c r="I830" s="391" t="str">
        <f t="shared" si="66"/>
        <v/>
      </c>
      <c r="J830" s="391" t="str">
        <f t="shared" si="67"/>
        <v/>
      </c>
      <c r="K830" s="391" t="str">
        <f t="shared" si="68"/>
        <v/>
      </c>
      <c r="O830" s="367" t="str">
        <v/>
      </c>
      <c r="S830" s="1" t="str">
        <v/>
      </c>
      <c r="AC830" s="367" t="str">
        <f t="shared" si="69"/>
        <v/>
      </c>
    </row>
    <row r="831" spans="1:29">
      <c r="A831" s="367" t="str">
        <v/>
      </c>
      <c r="H831" s="391" t="str">
        <f t="shared" si="65"/>
        <v/>
      </c>
      <c r="I831" s="391" t="str">
        <f t="shared" si="66"/>
        <v/>
      </c>
      <c r="J831" s="391" t="str">
        <f t="shared" si="67"/>
        <v/>
      </c>
      <c r="K831" s="391" t="str">
        <f t="shared" si="68"/>
        <v/>
      </c>
      <c r="O831" s="367" t="str">
        <v/>
      </c>
      <c r="S831" s="1" t="str">
        <v/>
      </c>
      <c r="AC831" s="367" t="str">
        <f t="shared" si="69"/>
        <v/>
      </c>
    </row>
    <row r="832" spans="1:29">
      <c r="A832" s="367" t="str">
        <v/>
      </c>
      <c r="H832" s="391" t="str">
        <f t="shared" si="65"/>
        <v/>
      </c>
      <c r="I832" s="391" t="str">
        <f t="shared" si="66"/>
        <v/>
      </c>
      <c r="J832" s="391" t="str">
        <f t="shared" si="67"/>
        <v/>
      </c>
      <c r="K832" s="391" t="str">
        <f t="shared" si="68"/>
        <v/>
      </c>
      <c r="O832" s="367" t="str">
        <v/>
      </c>
      <c r="S832" s="1" t="str">
        <v/>
      </c>
      <c r="AC832" s="367" t="str">
        <f t="shared" si="69"/>
        <v/>
      </c>
    </row>
    <row r="833" spans="1:29">
      <c r="A833" s="367" t="str">
        <v/>
      </c>
      <c r="H833" s="391" t="str">
        <f t="shared" si="65"/>
        <v/>
      </c>
      <c r="I833" s="391" t="str">
        <f t="shared" si="66"/>
        <v/>
      </c>
      <c r="J833" s="391" t="str">
        <f t="shared" si="67"/>
        <v/>
      </c>
      <c r="K833" s="391" t="str">
        <f t="shared" si="68"/>
        <v/>
      </c>
      <c r="O833" s="367" t="str">
        <v/>
      </c>
      <c r="S833" s="1" t="str">
        <v/>
      </c>
      <c r="AC833" s="367" t="str">
        <f t="shared" si="69"/>
        <v/>
      </c>
    </row>
    <row r="834" spans="1:29">
      <c r="A834" s="367" t="str">
        <v/>
      </c>
      <c r="H834" s="391" t="str">
        <f t="shared" si="65"/>
        <v/>
      </c>
      <c r="I834" s="391" t="str">
        <f t="shared" si="66"/>
        <v/>
      </c>
      <c r="J834" s="391" t="str">
        <f t="shared" si="67"/>
        <v/>
      </c>
      <c r="K834" s="391" t="str">
        <f t="shared" si="68"/>
        <v/>
      </c>
      <c r="O834" s="367" t="str">
        <v/>
      </c>
      <c r="S834" s="1" t="str">
        <v/>
      </c>
      <c r="AC834" s="367" t="str">
        <f t="shared" si="69"/>
        <v/>
      </c>
    </row>
    <row r="835" spans="1:29">
      <c r="A835" s="367" t="str">
        <v/>
      </c>
      <c r="H835" s="391" t="str">
        <f t="shared" si="65"/>
        <v/>
      </c>
      <c r="I835" s="391" t="str">
        <f t="shared" si="66"/>
        <v/>
      </c>
      <c r="J835" s="391" t="str">
        <f t="shared" si="67"/>
        <v/>
      </c>
      <c r="K835" s="391" t="str">
        <f t="shared" si="68"/>
        <v/>
      </c>
      <c r="O835" s="367" t="str">
        <v/>
      </c>
      <c r="S835" s="1" t="str">
        <v/>
      </c>
      <c r="AC835" s="367" t="str">
        <f t="shared" si="69"/>
        <v/>
      </c>
    </row>
    <row r="836" spans="1:29">
      <c r="A836" s="367" t="str">
        <v/>
      </c>
      <c r="H836" s="391" t="str">
        <f t="shared" si="65"/>
        <v/>
      </c>
      <c r="I836" s="391" t="str">
        <f t="shared" si="66"/>
        <v/>
      </c>
      <c r="J836" s="391" t="str">
        <f t="shared" si="67"/>
        <v/>
      </c>
      <c r="K836" s="391" t="str">
        <f t="shared" si="68"/>
        <v/>
      </c>
      <c r="O836" s="367" t="str">
        <v/>
      </c>
      <c r="S836" s="1" t="str">
        <v/>
      </c>
      <c r="AC836" s="367" t="str">
        <f t="shared" si="69"/>
        <v/>
      </c>
    </row>
    <row r="837" spans="1:29">
      <c r="A837" s="367" t="str">
        <v/>
      </c>
      <c r="H837" s="391" t="str">
        <f t="shared" si="65"/>
        <v/>
      </c>
      <c r="I837" s="391" t="str">
        <f t="shared" si="66"/>
        <v/>
      </c>
      <c r="J837" s="391" t="str">
        <f t="shared" si="67"/>
        <v/>
      </c>
      <c r="K837" s="391" t="str">
        <f t="shared" si="68"/>
        <v/>
      </c>
      <c r="O837" s="367" t="str">
        <v/>
      </c>
      <c r="S837" s="1" t="str">
        <v/>
      </c>
      <c r="AC837" s="367" t="str">
        <f t="shared" si="69"/>
        <v/>
      </c>
    </row>
    <row r="838" spans="1:29">
      <c r="A838" s="367" t="str">
        <v/>
      </c>
      <c r="H838" s="391" t="str">
        <f t="shared" si="65"/>
        <v/>
      </c>
      <c r="I838" s="391" t="str">
        <f t="shared" si="66"/>
        <v/>
      </c>
      <c r="J838" s="391" t="str">
        <f t="shared" si="67"/>
        <v/>
      </c>
      <c r="K838" s="391" t="str">
        <f t="shared" si="68"/>
        <v/>
      </c>
      <c r="O838" s="367" t="str">
        <v/>
      </c>
      <c r="S838" s="1" t="str">
        <v/>
      </c>
      <c r="AC838" s="367" t="str">
        <f t="shared" si="69"/>
        <v/>
      </c>
    </row>
    <row r="839" spans="1:29">
      <c r="A839" s="367" t="str">
        <v/>
      </c>
      <c r="H839" s="391" t="str">
        <f t="shared" si="65"/>
        <v/>
      </c>
      <c r="I839" s="391" t="str">
        <f t="shared" si="66"/>
        <v/>
      </c>
      <c r="J839" s="391" t="str">
        <f t="shared" si="67"/>
        <v/>
      </c>
      <c r="K839" s="391" t="str">
        <f t="shared" si="68"/>
        <v/>
      </c>
      <c r="O839" s="367" t="str">
        <v/>
      </c>
      <c r="S839" s="1" t="str">
        <v/>
      </c>
      <c r="AC839" s="367" t="str">
        <f t="shared" si="69"/>
        <v/>
      </c>
    </row>
    <row r="840" spans="1:29">
      <c r="A840" s="367" t="str">
        <v/>
      </c>
      <c r="H840" s="391" t="str">
        <f t="shared" si="65"/>
        <v/>
      </c>
      <c r="I840" s="391" t="str">
        <f t="shared" si="66"/>
        <v/>
      </c>
      <c r="J840" s="391" t="str">
        <f t="shared" si="67"/>
        <v/>
      </c>
      <c r="K840" s="391" t="str">
        <f t="shared" si="68"/>
        <v/>
      </c>
      <c r="O840" s="367" t="str">
        <v/>
      </c>
      <c r="S840" s="1" t="str">
        <v/>
      </c>
      <c r="AC840" s="367" t="str">
        <f t="shared" si="69"/>
        <v/>
      </c>
    </row>
    <row r="841" spans="1:29">
      <c r="A841" s="367" t="str">
        <v/>
      </c>
      <c r="H841" s="391" t="str">
        <f t="shared" si="65"/>
        <v/>
      </c>
      <c r="I841" s="391" t="str">
        <f t="shared" si="66"/>
        <v/>
      </c>
      <c r="J841" s="391" t="str">
        <f t="shared" si="67"/>
        <v/>
      </c>
      <c r="K841" s="391" t="str">
        <f t="shared" si="68"/>
        <v/>
      </c>
      <c r="O841" s="367" t="str">
        <v/>
      </c>
      <c r="S841" s="1" t="str">
        <v/>
      </c>
      <c r="AC841" s="367" t="str">
        <f t="shared" si="69"/>
        <v/>
      </c>
    </row>
    <row r="842" spans="1:29">
      <c r="A842" s="367" t="str">
        <v/>
      </c>
      <c r="H842" s="391" t="str">
        <f t="shared" si="65"/>
        <v/>
      </c>
      <c r="I842" s="391" t="str">
        <f t="shared" si="66"/>
        <v/>
      </c>
      <c r="J842" s="391" t="str">
        <f t="shared" si="67"/>
        <v/>
      </c>
      <c r="K842" s="391" t="str">
        <f t="shared" si="68"/>
        <v/>
      </c>
      <c r="O842" s="367" t="str">
        <v/>
      </c>
      <c r="S842" s="1" t="str">
        <v/>
      </c>
      <c r="AC842" s="367" t="str">
        <f t="shared" si="69"/>
        <v/>
      </c>
    </row>
    <row r="843" spans="1:29">
      <c r="A843" s="367" t="str">
        <v/>
      </c>
      <c r="H843" s="391" t="str">
        <f t="shared" si="65"/>
        <v/>
      </c>
      <c r="I843" s="391" t="str">
        <f t="shared" si="66"/>
        <v/>
      </c>
      <c r="J843" s="391" t="str">
        <f t="shared" si="67"/>
        <v/>
      </c>
      <c r="K843" s="391" t="str">
        <f t="shared" si="68"/>
        <v/>
      </c>
      <c r="O843" s="367" t="str">
        <v/>
      </c>
      <c r="S843" s="1" t="str">
        <v/>
      </c>
      <c r="AC843" s="367" t="str">
        <f t="shared" si="69"/>
        <v/>
      </c>
    </row>
    <row r="844" spans="1:29">
      <c r="A844" s="367" t="str">
        <v/>
      </c>
      <c r="H844" s="391" t="str">
        <f t="shared" si="65"/>
        <v/>
      </c>
      <c r="I844" s="391" t="str">
        <f t="shared" si="66"/>
        <v/>
      </c>
      <c r="J844" s="391" t="str">
        <f t="shared" si="67"/>
        <v/>
      </c>
      <c r="K844" s="391" t="str">
        <f t="shared" si="68"/>
        <v/>
      </c>
      <c r="O844" s="367" t="str">
        <v/>
      </c>
      <c r="S844" s="1" t="str">
        <v/>
      </c>
      <c r="AC844" s="367" t="str">
        <f t="shared" si="69"/>
        <v/>
      </c>
    </row>
    <row r="845" spans="1:29">
      <c r="A845" s="367" t="str">
        <v/>
      </c>
      <c r="H845" s="391" t="str">
        <f t="shared" si="65"/>
        <v/>
      </c>
      <c r="I845" s="391" t="str">
        <f t="shared" si="66"/>
        <v/>
      </c>
      <c r="J845" s="391" t="str">
        <f t="shared" si="67"/>
        <v/>
      </c>
      <c r="K845" s="391" t="str">
        <f t="shared" si="68"/>
        <v/>
      </c>
      <c r="O845" s="367" t="str">
        <v/>
      </c>
      <c r="S845" s="1" t="str">
        <v/>
      </c>
      <c r="AC845" s="367" t="str">
        <f t="shared" si="69"/>
        <v/>
      </c>
    </row>
    <row r="846" spans="1:29">
      <c r="A846" s="367" t="str">
        <v/>
      </c>
      <c r="H846" s="391" t="str">
        <f t="shared" si="65"/>
        <v/>
      </c>
      <c r="I846" s="391" t="str">
        <f t="shared" si="66"/>
        <v/>
      </c>
      <c r="J846" s="391" t="str">
        <f t="shared" si="67"/>
        <v/>
      </c>
      <c r="K846" s="391" t="str">
        <f t="shared" si="68"/>
        <v/>
      </c>
      <c r="O846" s="367" t="str">
        <v/>
      </c>
      <c r="S846" s="1" t="str">
        <v/>
      </c>
      <c r="AC846" s="367" t="str">
        <f t="shared" si="69"/>
        <v/>
      </c>
    </row>
    <row r="847" spans="1:29">
      <c r="A847" s="367" t="str">
        <v/>
      </c>
      <c r="H847" s="391" t="str">
        <f t="shared" si="65"/>
        <v/>
      </c>
      <c r="I847" s="391" t="str">
        <f t="shared" si="66"/>
        <v/>
      </c>
      <c r="J847" s="391" t="str">
        <f t="shared" si="67"/>
        <v/>
      </c>
      <c r="K847" s="391" t="str">
        <f t="shared" si="68"/>
        <v/>
      </c>
      <c r="O847" s="367" t="str">
        <v/>
      </c>
      <c r="S847" s="1" t="str">
        <v/>
      </c>
      <c r="AC847" s="367" t="str">
        <f t="shared" si="69"/>
        <v/>
      </c>
    </row>
    <row r="848" spans="1:29">
      <c r="A848" s="367" t="str">
        <v/>
      </c>
      <c r="H848" s="391" t="str">
        <f t="shared" si="65"/>
        <v/>
      </c>
      <c r="I848" s="391" t="str">
        <f t="shared" si="66"/>
        <v/>
      </c>
      <c r="J848" s="391" t="str">
        <f t="shared" si="67"/>
        <v/>
      </c>
      <c r="K848" s="391" t="str">
        <f t="shared" si="68"/>
        <v/>
      </c>
      <c r="O848" s="367" t="str">
        <v/>
      </c>
      <c r="S848" s="1" t="str">
        <v/>
      </c>
      <c r="AC848" s="367" t="str">
        <f t="shared" si="69"/>
        <v/>
      </c>
    </row>
    <row r="849" spans="1:29">
      <c r="A849" s="367" t="str">
        <v/>
      </c>
      <c r="H849" s="391" t="str">
        <f t="shared" si="65"/>
        <v/>
      </c>
      <c r="I849" s="391" t="str">
        <f t="shared" si="66"/>
        <v/>
      </c>
      <c r="J849" s="391" t="str">
        <f t="shared" si="67"/>
        <v/>
      </c>
      <c r="K849" s="391" t="str">
        <f t="shared" si="68"/>
        <v/>
      </c>
      <c r="O849" s="367" t="str">
        <v/>
      </c>
      <c r="S849" s="1" t="str">
        <v/>
      </c>
      <c r="AC849" s="367" t="str">
        <f t="shared" si="69"/>
        <v/>
      </c>
    </row>
    <row r="850" spans="1:29">
      <c r="A850" s="367" t="str">
        <v/>
      </c>
      <c r="H850" s="391" t="str">
        <f t="shared" si="65"/>
        <v/>
      </c>
      <c r="I850" s="391" t="str">
        <f t="shared" si="66"/>
        <v/>
      </c>
      <c r="J850" s="391" t="str">
        <f t="shared" si="67"/>
        <v/>
      </c>
      <c r="K850" s="391" t="str">
        <f t="shared" si="68"/>
        <v/>
      </c>
      <c r="O850" s="367" t="str">
        <v/>
      </c>
      <c r="S850" s="1" t="str">
        <v/>
      </c>
      <c r="AC850" s="367" t="str">
        <f t="shared" si="69"/>
        <v/>
      </c>
    </row>
    <row r="851" spans="1:29">
      <c r="A851" s="367" t="str">
        <v/>
      </c>
      <c r="H851" s="391" t="str">
        <f t="shared" si="65"/>
        <v/>
      </c>
      <c r="I851" s="391" t="str">
        <f t="shared" si="66"/>
        <v/>
      </c>
      <c r="J851" s="391" t="str">
        <f t="shared" si="67"/>
        <v/>
      </c>
      <c r="K851" s="391" t="str">
        <f t="shared" si="68"/>
        <v/>
      </c>
      <c r="O851" s="367" t="str">
        <v/>
      </c>
      <c r="S851" s="1" t="str">
        <v/>
      </c>
      <c r="AC851" s="367" t="str">
        <f t="shared" si="69"/>
        <v/>
      </c>
    </row>
    <row r="852" spans="1:29">
      <c r="A852" s="367" t="str">
        <v/>
      </c>
      <c r="H852" s="391" t="str">
        <f t="shared" si="65"/>
        <v/>
      </c>
      <c r="I852" s="391" t="str">
        <f t="shared" si="66"/>
        <v/>
      </c>
      <c r="J852" s="391" t="str">
        <f t="shared" si="67"/>
        <v/>
      </c>
      <c r="K852" s="391" t="str">
        <f t="shared" si="68"/>
        <v/>
      </c>
      <c r="O852" s="367" t="str">
        <v/>
      </c>
      <c r="S852" s="1" t="str">
        <v/>
      </c>
      <c r="AC852" s="367" t="str">
        <f t="shared" si="69"/>
        <v/>
      </c>
    </row>
    <row r="853" spans="1:29">
      <c r="A853" s="367" t="str">
        <v/>
      </c>
      <c r="H853" s="391" t="str">
        <f t="shared" si="65"/>
        <v/>
      </c>
      <c r="I853" s="391" t="str">
        <f t="shared" si="66"/>
        <v/>
      </c>
      <c r="J853" s="391" t="str">
        <f t="shared" si="67"/>
        <v/>
      </c>
      <c r="K853" s="391" t="str">
        <f t="shared" si="68"/>
        <v/>
      </c>
      <c r="O853" s="367" t="str">
        <v/>
      </c>
      <c r="S853" s="1" t="str">
        <v/>
      </c>
      <c r="AC853" s="367" t="str">
        <f t="shared" si="69"/>
        <v/>
      </c>
    </row>
    <row r="854" spans="1:29">
      <c r="A854" s="367" t="str">
        <v/>
      </c>
      <c r="H854" s="391" t="str">
        <f t="shared" si="65"/>
        <v/>
      </c>
      <c r="I854" s="391" t="str">
        <f t="shared" si="66"/>
        <v/>
      </c>
      <c r="J854" s="391" t="str">
        <f t="shared" si="67"/>
        <v/>
      </c>
      <c r="K854" s="391" t="str">
        <f t="shared" si="68"/>
        <v/>
      </c>
      <c r="O854" s="367" t="str">
        <v/>
      </c>
      <c r="S854" s="1" t="str">
        <v/>
      </c>
      <c r="AC854" s="367" t="str">
        <f t="shared" si="69"/>
        <v/>
      </c>
    </row>
    <row r="855" spans="1:29">
      <c r="A855" s="367" t="str">
        <v/>
      </c>
      <c r="H855" s="391" t="str">
        <f t="shared" ref="H855:H918" si="70">IF($C855="","",ROUND((($B$2*$F855*($B$5/1000))/$B$6)*(1+IF($B$18="",0,$B$18)),2))</f>
        <v/>
      </c>
      <c r="I855" s="391" t="str">
        <f t="shared" ref="I855:I918" si="71">IF($C855="","",ROUND((($B$3*$F855*($B$5/1000))/$B$6)*(1+IF($B$18="",0,$B$18)),2))</f>
        <v/>
      </c>
      <c r="J855" s="391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1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7" t="str">
        <v/>
      </c>
      <c r="S855" s="1" t="str">
        <v/>
      </c>
      <c r="AC855" s="367" t="str">
        <f t="shared" si="69"/>
        <v/>
      </c>
    </row>
    <row r="856" spans="1:29">
      <c r="A856" s="367" t="str">
        <v/>
      </c>
      <c r="H856" s="391" t="str">
        <f t="shared" si="70"/>
        <v/>
      </c>
      <c r="I856" s="391" t="str">
        <f t="shared" si="71"/>
        <v/>
      </c>
      <c r="J856" s="391" t="str">
        <f t="shared" si="72"/>
        <v/>
      </c>
      <c r="K856" s="391" t="str">
        <f t="shared" si="73"/>
        <v/>
      </c>
      <c r="O856" s="367" t="str">
        <v/>
      </c>
      <c r="S856" s="1" t="str">
        <v/>
      </c>
      <c r="AC856" s="367" t="str">
        <f t="shared" si="69"/>
        <v/>
      </c>
    </row>
    <row r="857" spans="1:29">
      <c r="A857" s="367" t="str">
        <v/>
      </c>
      <c r="H857" s="391" t="str">
        <f t="shared" si="70"/>
        <v/>
      </c>
      <c r="I857" s="391" t="str">
        <f t="shared" si="71"/>
        <v/>
      </c>
      <c r="J857" s="391" t="str">
        <f t="shared" si="72"/>
        <v/>
      </c>
      <c r="K857" s="391" t="str">
        <f t="shared" si="73"/>
        <v/>
      </c>
      <c r="O857" s="367" t="str">
        <v/>
      </c>
      <c r="S857" s="1" t="str">
        <v/>
      </c>
      <c r="AC857" s="367" t="str">
        <f t="shared" si="69"/>
        <v/>
      </c>
    </row>
    <row r="858" spans="1:29">
      <c r="A858" s="367" t="str">
        <v/>
      </c>
      <c r="H858" s="391" t="str">
        <f t="shared" si="70"/>
        <v/>
      </c>
      <c r="I858" s="391" t="str">
        <f t="shared" si="71"/>
        <v/>
      </c>
      <c r="J858" s="391" t="str">
        <f t="shared" si="72"/>
        <v/>
      </c>
      <c r="K858" s="391" t="str">
        <f t="shared" si="73"/>
        <v/>
      </c>
      <c r="O858" s="367" t="str">
        <v/>
      </c>
      <c r="S858" s="1" t="str">
        <v/>
      </c>
      <c r="AC858" s="367" t="str">
        <f t="shared" si="69"/>
        <v/>
      </c>
    </row>
    <row r="859" spans="1:29">
      <c r="A859" s="367" t="str">
        <v/>
      </c>
      <c r="H859" s="391" t="str">
        <f t="shared" si="70"/>
        <v/>
      </c>
      <c r="I859" s="391" t="str">
        <f t="shared" si="71"/>
        <v/>
      </c>
      <c r="J859" s="391" t="str">
        <f t="shared" si="72"/>
        <v/>
      </c>
      <c r="K859" s="391" t="str">
        <f t="shared" si="73"/>
        <v/>
      </c>
      <c r="O859" s="367" t="str">
        <v/>
      </c>
      <c r="S859" s="1" t="str">
        <v/>
      </c>
      <c r="AC859" s="367" t="str">
        <f t="shared" si="69"/>
        <v/>
      </c>
    </row>
    <row r="860" spans="1:29">
      <c r="A860" s="367" t="str">
        <v/>
      </c>
      <c r="H860" s="391" t="str">
        <f t="shared" si="70"/>
        <v/>
      </c>
      <c r="I860" s="391" t="str">
        <f t="shared" si="71"/>
        <v/>
      </c>
      <c r="J860" s="391" t="str">
        <f t="shared" si="72"/>
        <v/>
      </c>
      <c r="K860" s="391" t="str">
        <f t="shared" si="73"/>
        <v/>
      </c>
      <c r="O860" s="367" t="str">
        <v/>
      </c>
      <c r="S860" s="1" t="str">
        <v/>
      </c>
      <c r="AC860" s="367" t="str">
        <f t="shared" si="69"/>
        <v/>
      </c>
    </row>
    <row r="861" spans="1:29">
      <c r="A861" s="367" t="str">
        <v/>
      </c>
      <c r="H861" s="391" t="str">
        <f t="shared" si="70"/>
        <v/>
      </c>
      <c r="I861" s="391" t="str">
        <f t="shared" si="71"/>
        <v/>
      </c>
      <c r="J861" s="391" t="str">
        <f t="shared" si="72"/>
        <v/>
      </c>
      <c r="K861" s="391" t="str">
        <f t="shared" si="73"/>
        <v/>
      </c>
      <c r="O861" s="367" t="str">
        <v/>
      </c>
      <c r="S861" s="1" t="str">
        <v/>
      </c>
      <c r="AC861" s="367" t="str">
        <f t="shared" si="69"/>
        <v/>
      </c>
    </row>
    <row r="862" spans="1:29">
      <c r="A862" s="367" t="str">
        <v/>
      </c>
      <c r="H862" s="391" t="str">
        <f t="shared" si="70"/>
        <v/>
      </c>
      <c r="I862" s="391" t="str">
        <f t="shared" si="71"/>
        <v/>
      </c>
      <c r="J862" s="391" t="str">
        <f t="shared" si="72"/>
        <v/>
      </c>
      <c r="K862" s="391" t="str">
        <f t="shared" si="73"/>
        <v/>
      </c>
      <c r="O862" s="367" t="str">
        <v/>
      </c>
      <c r="S862" s="1" t="str">
        <v/>
      </c>
      <c r="AC862" s="367" t="str">
        <f t="shared" si="69"/>
        <v/>
      </c>
    </row>
    <row r="863" spans="1:29">
      <c r="A863" s="367" t="str">
        <v/>
      </c>
      <c r="H863" s="391" t="str">
        <f t="shared" si="70"/>
        <v/>
      </c>
      <c r="I863" s="391" t="str">
        <f t="shared" si="71"/>
        <v/>
      </c>
      <c r="J863" s="391" t="str">
        <f t="shared" si="72"/>
        <v/>
      </c>
      <c r="K863" s="391" t="str">
        <f t="shared" si="73"/>
        <v/>
      </c>
      <c r="O863" s="367" t="str">
        <v/>
      </c>
      <c r="S863" s="1" t="str">
        <v/>
      </c>
      <c r="AC863" s="367" t="str">
        <f t="shared" si="69"/>
        <v/>
      </c>
    </row>
    <row r="864" spans="1:29">
      <c r="A864" s="367" t="str">
        <v/>
      </c>
      <c r="H864" s="391" t="str">
        <f t="shared" si="70"/>
        <v/>
      </c>
      <c r="I864" s="391" t="str">
        <f t="shared" si="71"/>
        <v/>
      </c>
      <c r="J864" s="391" t="str">
        <f t="shared" si="72"/>
        <v/>
      </c>
      <c r="K864" s="391" t="str">
        <f t="shared" si="73"/>
        <v/>
      </c>
      <c r="O864" s="367" t="str">
        <v/>
      </c>
      <c r="S864" s="1" t="str">
        <v/>
      </c>
      <c r="AC864" s="367" t="str">
        <f t="shared" si="69"/>
        <v/>
      </c>
    </row>
    <row r="865" spans="1:29">
      <c r="A865" s="367" t="str">
        <v/>
      </c>
      <c r="H865" s="391" t="str">
        <f t="shared" si="70"/>
        <v/>
      </c>
      <c r="I865" s="391" t="str">
        <f t="shared" si="71"/>
        <v/>
      </c>
      <c r="J865" s="391" t="str">
        <f t="shared" si="72"/>
        <v/>
      </c>
      <c r="K865" s="391" t="str">
        <f t="shared" si="73"/>
        <v/>
      </c>
      <c r="O865" s="367" t="str">
        <v/>
      </c>
      <c r="S865" s="1" t="str">
        <v/>
      </c>
      <c r="AC865" s="367" t="str">
        <f t="shared" si="69"/>
        <v/>
      </c>
    </row>
    <row r="866" spans="1:29">
      <c r="A866" s="367" t="str">
        <v/>
      </c>
      <c r="H866" s="391" t="str">
        <f t="shared" si="70"/>
        <v/>
      </c>
      <c r="I866" s="391" t="str">
        <f t="shared" si="71"/>
        <v/>
      </c>
      <c r="J866" s="391" t="str">
        <f t="shared" si="72"/>
        <v/>
      </c>
      <c r="K866" s="391" t="str">
        <f t="shared" si="73"/>
        <v/>
      </c>
      <c r="O866" s="367" t="str">
        <v/>
      </c>
      <c r="S866" s="1" t="str">
        <v/>
      </c>
      <c r="AC866" s="367" t="str">
        <f t="shared" si="69"/>
        <v/>
      </c>
    </row>
    <row r="867" spans="1:29">
      <c r="A867" s="367" t="str">
        <v/>
      </c>
      <c r="H867" s="391" t="str">
        <f t="shared" si="70"/>
        <v/>
      </c>
      <c r="I867" s="391" t="str">
        <f t="shared" si="71"/>
        <v/>
      </c>
      <c r="J867" s="391" t="str">
        <f t="shared" si="72"/>
        <v/>
      </c>
      <c r="K867" s="391" t="str">
        <f t="shared" si="73"/>
        <v/>
      </c>
      <c r="O867" s="367" t="str">
        <v/>
      </c>
      <c r="S867" s="1" t="str">
        <v/>
      </c>
      <c r="AC867" s="367" t="str">
        <f t="shared" si="69"/>
        <v/>
      </c>
    </row>
    <row r="868" spans="1:29">
      <c r="A868" s="367" t="str">
        <v/>
      </c>
      <c r="H868" s="391" t="str">
        <f t="shared" si="70"/>
        <v/>
      </c>
      <c r="I868" s="391" t="str">
        <f t="shared" si="71"/>
        <v/>
      </c>
      <c r="J868" s="391" t="str">
        <f t="shared" si="72"/>
        <v/>
      </c>
      <c r="K868" s="391" t="str">
        <f t="shared" si="73"/>
        <v/>
      </c>
      <c r="O868" s="367" t="str">
        <v/>
      </c>
      <c r="S868" s="1" t="str">
        <v/>
      </c>
      <c r="AC868" s="367" t="str">
        <f t="shared" si="69"/>
        <v/>
      </c>
    </row>
    <row r="869" spans="1:29">
      <c r="A869" s="367" t="str">
        <v/>
      </c>
      <c r="H869" s="391" t="str">
        <f t="shared" si="70"/>
        <v/>
      </c>
      <c r="I869" s="391" t="str">
        <f t="shared" si="71"/>
        <v/>
      </c>
      <c r="J869" s="391" t="str">
        <f t="shared" si="72"/>
        <v/>
      </c>
      <c r="K869" s="391" t="str">
        <f t="shared" si="73"/>
        <v/>
      </c>
      <c r="O869" s="367" t="str">
        <v/>
      </c>
      <c r="S869" s="1" t="str">
        <v/>
      </c>
      <c r="AC869" s="367" t="str">
        <f t="shared" si="69"/>
        <v/>
      </c>
    </row>
    <row r="870" spans="1:29">
      <c r="A870" s="367" t="str">
        <v/>
      </c>
      <c r="H870" s="391" t="str">
        <f t="shared" si="70"/>
        <v/>
      </c>
      <c r="I870" s="391" t="str">
        <f t="shared" si="71"/>
        <v/>
      </c>
      <c r="J870" s="391" t="str">
        <f t="shared" si="72"/>
        <v/>
      </c>
      <c r="K870" s="391" t="str">
        <f t="shared" si="73"/>
        <v/>
      </c>
      <c r="O870" s="367" t="str">
        <v/>
      </c>
      <c r="S870" s="1" t="str">
        <v/>
      </c>
      <c r="AC870" s="367" t="str">
        <f t="shared" si="69"/>
        <v/>
      </c>
    </row>
    <row r="871" spans="1:29">
      <c r="A871" s="367" t="str">
        <v/>
      </c>
      <c r="H871" s="391" t="str">
        <f t="shared" si="70"/>
        <v/>
      </c>
      <c r="I871" s="391" t="str">
        <f t="shared" si="71"/>
        <v/>
      </c>
      <c r="J871" s="391" t="str">
        <f t="shared" si="72"/>
        <v/>
      </c>
      <c r="K871" s="391" t="str">
        <f t="shared" si="73"/>
        <v/>
      </c>
      <c r="O871" s="367" t="str">
        <v/>
      </c>
      <c r="S871" s="1" t="str">
        <v/>
      </c>
      <c r="AC871" s="367" t="str">
        <f t="shared" si="69"/>
        <v/>
      </c>
    </row>
    <row r="872" spans="1:29">
      <c r="A872" s="367" t="str">
        <v/>
      </c>
      <c r="H872" s="391" t="str">
        <f t="shared" si="70"/>
        <v/>
      </c>
      <c r="I872" s="391" t="str">
        <f t="shared" si="71"/>
        <v/>
      </c>
      <c r="J872" s="391" t="str">
        <f t="shared" si="72"/>
        <v/>
      </c>
      <c r="K872" s="391" t="str">
        <f t="shared" si="73"/>
        <v/>
      </c>
      <c r="O872" s="367" t="str">
        <v/>
      </c>
      <c r="S872" s="1" t="str">
        <v/>
      </c>
      <c r="AC872" s="367" t="str">
        <f t="shared" si="69"/>
        <v/>
      </c>
    </row>
    <row r="873" spans="1:29">
      <c r="A873" s="367" t="str">
        <v/>
      </c>
      <c r="H873" s="391" t="str">
        <f t="shared" si="70"/>
        <v/>
      </c>
      <c r="I873" s="391" t="str">
        <f t="shared" si="71"/>
        <v/>
      </c>
      <c r="J873" s="391" t="str">
        <f t="shared" si="72"/>
        <v/>
      </c>
      <c r="K873" s="391" t="str">
        <f t="shared" si="73"/>
        <v/>
      </c>
      <c r="O873" s="367" t="str">
        <v/>
      </c>
      <c r="S873" s="1" t="str">
        <v/>
      </c>
      <c r="AC873" s="367" t="str">
        <f t="shared" si="69"/>
        <v/>
      </c>
    </row>
    <row r="874" spans="1:29">
      <c r="A874" s="367" t="str">
        <v/>
      </c>
      <c r="H874" s="391" t="str">
        <f t="shared" si="70"/>
        <v/>
      </c>
      <c r="I874" s="391" t="str">
        <f t="shared" si="71"/>
        <v/>
      </c>
      <c r="J874" s="391" t="str">
        <f t="shared" si="72"/>
        <v/>
      </c>
      <c r="K874" s="391" t="str">
        <f t="shared" si="73"/>
        <v/>
      </c>
      <c r="O874" s="367" t="str">
        <v/>
      </c>
      <c r="S874" s="1" t="str">
        <v/>
      </c>
      <c r="AC874" s="367" t="str">
        <f t="shared" si="69"/>
        <v/>
      </c>
    </row>
    <row r="875" spans="1:29">
      <c r="A875" s="367" t="str">
        <v/>
      </c>
      <c r="H875" s="391" t="str">
        <f t="shared" si="70"/>
        <v/>
      </c>
      <c r="I875" s="391" t="str">
        <f t="shared" si="71"/>
        <v/>
      </c>
      <c r="J875" s="391" t="str">
        <f t="shared" si="72"/>
        <v/>
      </c>
      <c r="K875" s="391" t="str">
        <f t="shared" si="73"/>
        <v/>
      </c>
      <c r="O875" s="367" t="str">
        <v/>
      </c>
      <c r="S875" s="1" t="str">
        <v/>
      </c>
      <c r="AC875" s="367" t="str">
        <f t="shared" si="69"/>
        <v/>
      </c>
    </row>
    <row r="876" spans="1:29">
      <c r="A876" s="367" t="str">
        <v/>
      </c>
      <c r="H876" s="391" t="str">
        <f t="shared" si="70"/>
        <v/>
      </c>
      <c r="I876" s="391" t="str">
        <f t="shared" si="71"/>
        <v/>
      </c>
      <c r="J876" s="391" t="str">
        <f t="shared" si="72"/>
        <v/>
      </c>
      <c r="K876" s="391" t="str">
        <f t="shared" si="73"/>
        <v/>
      </c>
      <c r="O876" s="367" t="str">
        <v/>
      </c>
      <c r="S876" s="1" t="str">
        <v/>
      </c>
      <c r="AC876" s="367" t="str">
        <f t="shared" si="69"/>
        <v/>
      </c>
    </row>
    <row r="877" spans="1:29">
      <c r="A877" s="367" t="str">
        <v/>
      </c>
      <c r="H877" s="391" t="str">
        <f t="shared" si="70"/>
        <v/>
      </c>
      <c r="I877" s="391" t="str">
        <f t="shared" si="71"/>
        <v/>
      </c>
      <c r="J877" s="391" t="str">
        <f t="shared" si="72"/>
        <v/>
      </c>
      <c r="K877" s="391" t="str">
        <f t="shared" si="73"/>
        <v/>
      </c>
      <c r="O877" s="367" t="str">
        <v/>
      </c>
      <c r="S877" s="1" t="str">
        <v/>
      </c>
      <c r="AC877" s="367" t="str">
        <f t="shared" si="69"/>
        <v/>
      </c>
    </row>
    <row r="878" spans="1:29">
      <c r="A878" s="367" t="str">
        <v/>
      </c>
      <c r="H878" s="391" t="str">
        <f t="shared" si="70"/>
        <v/>
      </c>
      <c r="I878" s="391" t="str">
        <f t="shared" si="71"/>
        <v/>
      </c>
      <c r="J878" s="391" t="str">
        <f t="shared" si="72"/>
        <v/>
      </c>
      <c r="K878" s="391" t="str">
        <f t="shared" si="73"/>
        <v/>
      </c>
      <c r="O878" s="367" t="str">
        <v/>
      </c>
      <c r="S878" s="1" t="str">
        <v/>
      </c>
      <c r="AC878" s="367" t="str">
        <f t="shared" si="69"/>
        <v/>
      </c>
    </row>
    <row r="879" spans="1:29">
      <c r="A879" s="367" t="str">
        <v/>
      </c>
      <c r="H879" s="391" t="str">
        <f t="shared" si="70"/>
        <v/>
      </c>
      <c r="I879" s="391" t="str">
        <f t="shared" si="71"/>
        <v/>
      </c>
      <c r="J879" s="391" t="str">
        <f t="shared" si="72"/>
        <v/>
      </c>
      <c r="K879" s="391" t="str">
        <f t="shared" si="73"/>
        <v/>
      </c>
      <c r="O879" s="367" t="str">
        <v/>
      </c>
      <c r="S879" s="1" t="str">
        <v/>
      </c>
      <c r="AC879" s="367" t="str">
        <f t="shared" si="69"/>
        <v/>
      </c>
    </row>
    <row r="880" spans="1:29">
      <c r="A880" s="367" t="str">
        <v/>
      </c>
      <c r="H880" s="391" t="str">
        <f t="shared" si="70"/>
        <v/>
      </c>
      <c r="I880" s="391" t="str">
        <f t="shared" si="71"/>
        <v/>
      </c>
      <c r="J880" s="391" t="str">
        <f t="shared" si="72"/>
        <v/>
      </c>
      <c r="K880" s="391" t="str">
        <f t="shared" si="73"/>
        <v/>
      </c>
      <c r="O880" s="367" t="str">
        <v/>
      </c>
      <c r="S880" s="1" t="str">
        <v/>
      </c>
      <c r="AC880" s="367" t="str">
        <f t="shared" ref="AC880:AC943" si="74">IF($AB880&lt;&gt;"",$AB880,IFERROR(ROUNDUP($Z880/$Y880,1),""))</f>
        <v/>
      </c>
    </row>
    <row r="881" spans="1:29">
      <c r="A881" s="367" t="str">
        <v/>
      </c>
      <c r="H881" s="391" t="str">
        <f t="shared" si="70"/>
        <v/>
      </c>
      <c r="I881" s="391" t="str">
        <f t="shared" si="71"/>
        <v/>
      </c>
      <c r="J881" s="391" t="str">
        <f t="shared" si="72"/>
        <v/>
      </c>
      <c r="K881" s="391" t="str">
        <f t="shared" si="73"/>
        <v/>
      </c>
      <c r="O881" s="367" t="str">
        <v/>
      </c>
      <c r="S881" s="1" t="str">
        <v/>
      </c>
      <c r="AC881" s="367" t="str">
        <f t="shared" si="74"/>
        <v/>
      </c>
    </row>
    <row r="882" spans="1:29">
      <c r="A882" s="367" t="str">
        <v/>
      </c>
      <c r="H882" s="391" t="str">
        <f t="shared" si="70"/>
        <v/>
      </c>
      <c r="I882" s="391" t="str">
        <f t="shared" si="71"/>
        <v/>
      </c>
      <c r="J882" s="391" t="str">
        <f t="shared" si="72"/>
        <v/>
      </c>
      <c r="K882" s="391" t="str">
        <f t="shared" si="73"/>
        <v/>
      </c>
      <c r="O882" s="367" t="str">
        <v/>
      </c>
      <c r="S882" s="1" t="str">
        <v/>
      </c>
      <c r="AC882" s="367" t="str">
        <f t="shared" si="74"/>
        <v/>
      </c>
    </row>
    <row r="883" spans="1:29">
      <c r="A883" s="367" t="str">
        <v/>
      </c>
      <c r="H883" s="391" t="str">
        <f t="shared" si="70"/>
        <v/>
      </c>
      <c r="I883" s="391" t="str">
        <f t="shared" si="71"/>
        <v/>
      </c>
      <c r="J883" s="391" t="str">
        <f t="shared" si="72"/>
        <v/>
      </c>
      <c r="K883" s="391" t="str">
        <f t="shared" si="73"/>
        <v/>
      </c>
      <c r="O883" s="367" t="str">
        <v/>
      </c>
      <c r="S883" s="1" t="str">
        <v/>
      </c>
      <c r="AC883" s="367" t="str">
        <f t="shared" si="74"/>
        <v/>
      </c>
    </row>
    <row r="884" spans="1:29">
      <c r="A884" s="367" t="str">
        <v/>
      </c>
      <c r="H884" s="391" t="str">
        <f t="shared" si="70"/>
        <v/>
      </c>
      <c r="I884" s="391" t="str">
        <f t="shared" si="71"/>
        <v/>
      </c>
      <c r="J884" s="391" t="str">
        <f t="shared" si="72"/>
        <v/>
      </c>
      <c r="K884" s="391" t="str">
        <f t="shared" si="73"/>
        <v/>
      </c>
      <c r="O884" s="367" t="str">
        <v/>
      </c>
      <c r="S884" s="1" t="str">
        <v/>
      </c>
      <c r="AC884" s="367" t="str">
        <f t="shared" si="74"/>
        <v/>
      </c>
    </row>
    <row r="885" spans="1:29">
      <c r="A885" s="367" t="str">
        <v/>
      </c>
      <c r="H885" s="391" t="str">
        <f t="shared" si="70"/>
        <v/>
      </c>
      <c r="I885" s="391" t="str">
        <f t="shared" si="71"/>
        <v/>
      </c>
      <c r="J885" s="391" t="str">
        <f t="shared" si="72"/>
        <v/>
      </c>
      <c r="K885" s="391" t="str">
        <f t="shared" si="73"/>
        <v/>
      </c>
      <c r="O885" s="367" t="str">
        <v/>
      </c>
      <c r="S885" s="1" t="str">
        <v/>
      </c>
      <c r="AC885" s="367" t="str">
        <f t="shared" si="74"/>
        <v/>
      </c>
    </row>
    <row r="886" spans="1:29">
      <c r="A886" s="367" t="str">
        <v/>
      </c>
      <c r="H886" s="391" t="str">
        <f t="shared" si="70"/>
        <v/>
      </c>
      <c r="I886" s="391" t="str">
        <f t="shared" si="71"/>
        <v/>
      </c>
      <c r="J886" s="391" t="str">
        <f t="shared" si="72"/>
        <v/>
      </c>
      <c r="K886" s="391" t="str">
        <f t="shared" si="73"/>
        <v/>
      </c>
      <c r="O886" s="367" t="str">
        <v/>
      </c>
      <c r="S886" s="1" t="str">
        <v/>
      </c>
      <c r="AC886" s="367" t="str">
        <f t="shared" si="74"/>
        <v/>
      </c>
    </row>
    <row r="887" spans="1:29">
      <c r="A887" s="367" t="str">
        <v/>
      </c>
      <c r="H887" s="391" t="str">
        <f t="shared" si="70"/>
        <v/>
      </c>
      <c r="I887" s="391" t="str">
        <f t="shared" si="71"/>
        <v/>
      </c>
      <c r="J887" s="391" t="str">
        <f t="shared" si="72"/>
        <v/>
      </c>
      <c r="K887" s="391" t="str">
        <f t="shared" si="73"/>
        <v/>
      </c>
      <c r="O887" s="367" t="str">
        <v/>
      </c>
      <c r="S887" s="1" t="str">
        <v/>
      </c>
      <c r="AC887" s="367" t="str">
        <f t="shared" si="74"/>
        <v/>
      </c>
    </row>
    <row r="888" spans="1:29">
      <c r="A888" s="367" t="str">
        <v/>
      </c>
      <c r="H888" s="391" t="str">
        <f t="shared" si="70"/>
        <v/>
      </c>
      <c r="I888" s="391" t="str">
        <f t="shared" si="71"/>
        <v/>
      </c>
      <c r="J888" s="391" t="str">
        <f t="shared" si="72"/>
        <v/>
      </c>
      <c r="K888" s="391" t="str">
        <f t="shared" si="73"/>
        <v/>
      </c>
      <c r="O888" s="367" t="str">
        <v/>
      </c>
      <c r="S888" s="1" t="str">
        <v/>
      </c>
      <c r="AC888" s="367" t="str">
        <f t="shared" si="74"/>
        <v/>
      </c>
    </row>
    <row r="889" spans="1:29">
      <c r="A889" s="367" t="str">
        <v/>
      </c>
      <c r="H889" s="391" t="str">
        <f t="shared" si="70"/>
        <v/>
      </c>
      <c r="I889" s="391" t="str">
        <f t="shared" si="71"/>
        <v/>
      </c>
      <c r="J889" s="391" t="str">
        <f t="shared" si="72"/>
        <v/>
      </c>
      <c r="K889" s="391" t="str">
        <f t="shared" si="73"/>
        <v/>
      </c>
      <c r="O889" s="367" t="str">
        <v/>
      </c>
      <c r="S889" s="1" t="str">
        <v/>
      </c>
      <c r="AC889" s="367" t="str">
        <f t="shared" si="74"/>
        <v/>
      </c>
    </row>
    <row r="890" spans="1:29">
      <c r="A890" s="367" t="str">
        <v/>
      </c>
      <c r="H890" s="391" t="str">
        <f t="shared" si="70"/>
        <v/>
      </c>
      <c r="I890" s="391" t="str">
        <f t="shared" si="71"/>
        <v/>
      </c>
      <c r="J890" s="391" t="str">
        <f t="shared" si="72"/>
        <v/>
      </c>
      <c r="K890" s="391" t="str">
        <f t="shared" si="73"/>
        <v/>
      </c>
      <c r="O890" s="367" t="str">
        <v/>
      </c>
      <c r="S890" s="1" t="str">
        <v/>
      </c>
      <c r="AC890" s="367" t="str">
        <f t="shared" si="74"/>
        <v/>
      </c>
    </row>
    <row r="891" spans="1:29">
      <c r="A891" s="367" t="str">
        <v/>
      </c>
      <c r="H891" s="391" t="str">
        <f t="shared" si="70"/>
        <v/>
      </c>
      <c r="I891" s="391" t="str">
        <f t="shared" si="71"/>
        <v/>
      </c>
      <c r="J891" s="391" t="str">
        <f t="shared" si="72"/>
        <v/>
      </c>
      <c r="K891" s="391" t="str">
        <f t="shared" si="73"/>
        <v/>
      </c>
      <c r="O891" s="367" t="str">
        <v/>
      </c>
      <c r="S891" s="1" t="str">
        <v/>
      </c>
      <c r="AC891" s="367" t="str">
        <f t="shared" si="74"/>
        <v/>
      </c>
    </row>
    <row r="892" spans="1:29">
      <c r="A892" s="367" t="str">
        <v/>
      </c>
      <c r="H892" s="391" t="str">
        <f t="shared" si="70"/>
        <v/>
      </c>
      <c r="I892" s="391" t="str">
        <f t="shared" si="71"/>
        <v/>
      </c>
      <c r="J892" s="391" t="str">
        <f t="shared" si="72"/>
        <v/>
      </c>
      <c r="K892" s="391" t="str">
        <f t="shared" si="73"/>
        <v/>
      </c>
      <c r="O892" s="367" t="str">
        <v/>
      </c>
      <c r="S892" s="1" t="str">
        <v/>
      </c>
      <c r="AC892" s="367" t="str">
        <f t="shared" si="74"/>
        <v/>
      </c>
    </row>
    <row r="893" spans="1:29">
      <c r="A893" s="367" t="str">
        <v/>
      </c>
      <c r="H893" s="391" t="str">
        <f t="shared" si="70"/>
        <v/>
      </c>
      <c r="I893" s="391" t="str">
        <f t="shared" si="71"/>
        <v/>
      </c>
      <c r="J893" s="391" t="str">
        <f t="shared" si="72"/>
        <v/>
      </c>
      <c r="K893" s="391" t="str">
        <f t="shared" si="73"/>
        <v/>
      </c>
      <c r="O893" s="367" t="str">
        <v/>
      </c>
      <c r="S893" s="1" t="str">
        <v/>
      </c>
      <c r="AC893" s="367" t="str">
        <f t="shared" si="74"/>
        <v/>
      </c>
    </row>
    <row r="894" spans="1:29">
      <c r="A894" s="367" t="str">
        <v/>
      </c>
      <c r="H894" s="391" t="str">
        <f t="shared" si="70"/>
        <v/>
      </c>
      <c r="I894" s="391" t="str">
        <f t="shared" si="71"/>
        <v/>
      </c>
      <c r="J894" s="391" t="str">
        <f t="shared" si="72"/>
        <v/>
      </c>
      <c r="K894" s="391" t="str">
        <f t="shared" si="73"/>
        <v/>
      </c>
      <c r="O894" s="367" t="str">
        <v/>
      </c>
      <c r="S894" s="1" t="str">
        <v/>
      </c>
      <c r="AC894" s="367" t="str">
        <f t="shared" si="74"/>
        <v/>
      </c>
    </row>
    <row r="895" spans="1:29">
      <c r="A895" s="367" t="str">
        <v/>
      </c>
      <c r="H895" s="391" t="str">
        <f t="shared" si="70"/>
        <v/>
      </c>
      <c r="I895" s="391" t="str">
        <f t="shared" si="71"/>
        <v/>
      </c>
      <c r="J895" s="391" t="str">
        <f t="shared" si="72"/>
        <v/>
      </c>
      <c r="K895" s="391" t="str">
        <f t="shared" si="73"/>
        <v/>
      </c>
      <c r="O895" s="367" t="str">
        <v/>
      </c>
      <c r="S895" s="1" t="str">
        <v/>
      </c>
      <c r="AC895" s="367" t="str">
        <f t="shared" si="74"/>
        <v/>
      </c>
    </row>
    <row r="896" spans="1:29">
      <c r="A896" s="367" t="str">
        <v/>
      </c>
      <c r="H896" s="391" t="str">
        <f t="shared" si="70"/>
        <v/>
      </c>
      <c r="I896" s="391" t="str">
        <f t="shared" si="71"/>
        <v/>
      </c>
      <c r="J896" s="391" t="str">
        <f t="shared" si="72"/>
        <v/>
      </c>
      <c r="K896" s="391" t="str">
        <f t="shared" si="73"/>
        <v/>
      </c>
      <c r="O896" s="367" t="str">
        <v/>
      </c>
      <c r="S896" s="1" t="str">
        <v/>
      </c>
      <c r="AC896" s="367" t="str">
        <f t="shared" si="74"/>
        <v/>
      </c>
    </row>
    <row r="897" spans="1:29">
      <c r="A897" s="367" t="str">
        <v/>
      </c>
      <c r="H897" s="391" t="str">
        <f t="shared" si="70"/>
        <v/>
      </c>
      <c r="I897" s="391" t="str">
        <f t="shared" si="71"/>
        <v/>
      </c>
      <c r="J897" s="391" t="str">
        <f t="shared" si="72"/>
        <v/>
      </c>
      <c r="K897" s="391" t="str">
        <f t="shared" si="73"/>
        <v/>
      </c>
      <c r="O897" s="367" t="str">
        <v/>
      </c>
      <c r="S897" s="1" t="str">
        <v/>
      </c>
      <c r="AC897" s="367" t="str">
        <f t="shared" si="74"/>
        <v/>
      </c>
    </row>
    <row r="898" spans="1:29">
      <c r="A898" s="367" t="str">
        <v/>
      </c>
      <c r="H898" s="391" t="str">
        <f t="shared" si="70"/>
        <v/>
      </c>
      <c r="I898" s="391" t="str">
        <f t="shared" si="71"/>
        <v/>
      </c>
      <c r="J898" s="391" t="str">
        <f t="shared" si="72"/>
        <v/>
      </c>
      <c r="K898" s="391" t="str">
        <f t="shared" si="73"/>
        <v/>
      </c>
      <c r="O898" s="367" t="str">
        <v/>
      </c>
      <c r="S898" s="1" t="str">
        <v/>
      </c>
      <c r="AC898" s="367" t="str">
        <f t="shared" si="74"/>
        <v/>
      </c>
    </row>
    <row r="899" spans="1:29">
      <c r="A899" s="367" t="str">
        <v/>
      </c>
      <c r="H899" s="391" t="str">
        <f t="shared" si="70"/>
        <v/>
      </c>
      <c r="I899" s="391" t="str">
        <f t="shared" si="71"/>
        <v/>
      </c>
      <c r="J899" s="391" t="str">
        <f t="shared" si="72"/>
        <v/>
      </c>
      <c r="K899" s="391" t="str">
        <f t="shared" si="73"/>
        <v/>
      </c>
      <c r="O899" s="367" t="str">
        <v/>
      </c>
      <c r="S899" s="1" t="str">
        <v/>
      </c>
      <c r="AC899" s="367" t="str">
        <f t="shared" si="74"/>
        <v/>
      </c>
    </row>
    <row r="900" spans="1:29">
      <c r="A900" s="367" t="str">
        <v/>
      </c>
      <c r="H900" s="391" t="str">
        <f t="shared" si="70"/>
        <v/>
      </c>
      <c r="I900" s="391" t="str">
        <f t="shared" si="71"/>
        <v/>
      </c>
      <c r="J900" s="391" t="str">
        <f t="shared" si="72"/>
        <v/>
      </c>
      <c r="K900" s="391" t="str">
        <f t="shared" si="73"/>
        <v/>
      </c>
      <c r="O900" s="367" t="str">
        <v/>
      </c>
      <c r="S900" s="1" t="str">
        <v/>
      </c>
      <c r="AC900" s="367" t="str">
        <f t="shared" si="74"/>
        <v/>
      </c>
    </row>
    <row r="901" spans="1:29">
      <c r="A901" s="367" t="str">
        <v/>
      </c>
      <c r="H901" s="391" t="str">
        <f t="shared" si="70"/>
        <v/>
      </c>
      <c r="I901" s="391" t="str">
        <f t="shared" si="71"/>
        <v/>
      </c>
      <c r="J901" s="391" t="str">
        <f t="shared" si="72"/>
        <v/>
      </c>
      <c r="K901" s="391" t="str">
        <f t="shared" si="73"/>
        <v/>
      </c>
      <c r="O901" s="367" t="str">
        <v/>
      </c>
      <c r="S901" s="1" t="str">
        <v/>
      </c>
      <c r="AC901" s="367" t="str">
        <f t="shared" si="74"/>
        <v/>
      </c>
    </row>
    <row r="902" spans="1:29">
      <c r="A902" s="367" t="str">
        <v/>
      </c>
      <c r="H902" s="391" t="str">
        <f t="shared" si="70"/>
        <v/>
      </c>
      <c r="I902" s="391" t="str">
        <f t="shared" si="71"/>
        <v/>
      </c>
      <c r="J902" s="391" t="str">
        <f t="shared" si="72"/>
        <v/>
      </c>
      <c r="K902" s="391" t="str">
        <f t="shared" si="73"/>
        <v/>
      </c>
      <c r="O902" s="367" t="str">
        <v/>
      </c>
      <c r="S902" s="1" t="str">
        <v/>
      </c>
      <c r="AC902" s="367" t="str">
        <f t="shared" si="74"/>
        <v/>
      </c>
    </row>
    <row r="903" spans="1:29">
      <c r="A903" s="367" t="str">
        <v/>
      </c>
      <c r="H903" s="391" t="str">
        <f t="shared" si="70"/>
        <v/>
      </c>
      <c r="I903" s="391" t="str">
        <f t="shared" si="71"/>
        <v/>
      </c>
      <c r="J903" s="391" t="str">
        <f t="shared" si="72"/>
        <v/>
      </c>
      <c r="K903" s="391" t="str">
        <f t="shared" si="73"/>
        <v/>
      </c>
      <c r="O903" s="367" t="str">
        <v/>
      </c>
      <c r="S903" s="1" t="str">
        <v/>
      </c>
      <c r="AC903" s="367" t="str">
        <f t="shared" si="74"/>
        <v/>
      </c>
    </row>
    <row r="904" spans="1:29">
      <c r="A904" s="367" t="str">
        <v/>
      </c>
      <c r="H904" s="391" t="str">
        <f t="shared" si="70"/>
        <v/>
      </c>
      <c r="I904" s="391" t="str">
        <f t="shared" si="71"/>
        <v/>
      </c>
      <c r="J904" s="391" t="str">
        <f t="shared" si="72"/>
        <v/>
      </c>
      <c r="K904" s="391" t="str">
        <f t="shared" si="73"/>
        <v/>
      </c>
      <c r="O904" s="367" t="str">
        <v/>
      </c>
      <c r="S904" s="1" t="str">
        <v/>
      </c>
      <c r="AC904" s="367" t="str">
        <f t="shared" si="74"/>
        <v/>
      </c>
    </row>
    <row r="905" spans="1:29">
      <c r="A905" s="367" t="str">
        <v/>
      </c>
      <c r="H905" s="391" t="str">
        <f t="shared" si="70"/>
        <v/>
      </c>
      <c r="I905" s="391" t="str">
        <f t="shared" si="71"/>
        <v/>
      </c>
      <c r="J905" s="391" t="str">
        <f t="shared" si="72"/>
        <v/>
      </c>
      <c r="K905" s="391" t="str">
        <f t="shared" si="73"/>
        <v/>
      </c>
      <c r="O905" s="367" t="str">
        <v/>
      </c>
      <c r="S905" s="1" t="str">
        <v/>
      </c>
      <c r="AC905" s="367" t="str">
        <f t="shared" si="74"/>
        <v/>
      </c>
    </row>
    <row r="906" spans="1:29">
      <c r="A906" s="367" t="str">
        <v/>
      </c>
      <c r="H906" s="391" t="str">
        <f t="shared" si="70"/>
        <v/>
      </c>
      <c r="I906" s="391" t="str">
        <f t="shared" si="71"/>
        <v/>
      </c>
      <c r="J906" s="391" t="str">
        <f t="shared" si="72"/>
        <v/>
      </c>
      <c r="K906" s="391" t="str">
        <f t="shared" si="73"/>
        <v/>
      </c>
      <c r="O906" s="367" t="str">
        <v/>
      </c>
      <c r="S906" s="1" t="str">
        <v/>
      </c>
      <c r="AC906" s="367" t="str">
        <f t="shared" si="74"/>
        <v/>
      </c>
    </row>
    <row r="907" spans="1:29">
      <c r="A907" s="367" t="str">
        <v/>
      </c>
      <c r="H907" s="391" t="str">
        <f t="shared" si="70"/>
        <v/>
      </c>
      <c r="I907" s="391" t="str">
        <f t="shared" si="71"/>
        <v/>
      </c>
      <c r="J907" s="391" t="str">
        <f t="shared" si="72"/>
        <v/>
      </c>
      <c r="K907" s="391" t="str">
        <f t="shared" si="73"/>
        <v/>
      </c>
      <c r="O907" s="367" t="str">
        <v/>
      </c>
      <c r="S907" s="1" t="str">
        <v/>
      </c>
      <c r="AC907" s="367" t="str">
        <f t="shared" si="74"/>
        <v/>
      </c>
    </row>
    <row r="908" spans="1:29">
      <c r="A908" s="367" t="str">
        <v/>
      </c>
      <c r="H908" s="391" t="str">
        <f t="shared" si="70"/>
        <v/>
      </c>
      <c r="I908" s="391" t="str">
        <f t="shared" si="71"/>
        <v/>
      </c>
      <c r="J908" s="391" t="str">
        <f t="shared" si="72"/>
        <v/>
      </c>
      <c r="K908" s="391" t="str">
        <f t="shared" si="73"/>
        <v/>
      </c>
      <c r="O908" s="367" t="str">
        <v/>
      </c>
      <c r="S908" s="1" t="str">
        <v/>
      </c>
      <c r="AC908" s="367" t="str">
        <f t="shared" si="74"/>
        <v/>
      </c>
    </row>
    <row r="909" spans="1:29">
      <c r="A909" s="367" t="str">
        <v/>
      </c>
      <c r="H909" s="391" t="str">
        <f t="shared" si="70"/>
        <v/>
      </c>
      <c r="I909" s="391" t="str">
        <f t="shared" si="71"/>
        <v/>
      </c>
      <c r="J909" s="391" t="str">
        <f t="shared" si="72"/>
        <v/>
      </c>
      <c r="K909" s="391" t="str">
        <f t="shared" si="73"/>
        <v/>
      </c>
      <c r="O909" s="367" t="str">
        <v/>
      </c>
      <c r="S909" s="1" t="str">
        <v/>
      </c>
      <c r="AC909" s="367" t="str">
        <f t="shared" si="74"/>
        <v/>
      </c>
    </row>
    <row r="910" spans="1:29">
      <c r="A910" s="367" t="str">
        <v/>
      </c>
      <c r="H910" s="391" t="str">
        <f t="shared" si="70"/>
        <v/>
      </c>
      <c r="I910" s="391" t="str">
        <f t="shared" si="71"/>
        <v/>
      </c>
      <c r="J910" s="391" t="str">
        <f t="shared" si="72"/>
        <v/>
      </c>
      <c r="K910" s="391" t="str">
        <f t="shared" si="73"/>
        <v/>
      </c>
      <c r="O910" s="367" t="str">
        <v/>
      </c>
      <c r="S910" s="1" t="str">
        <v/>
      </c>
      <c r="AC910" s="367" t="str">
        <f t="shared" si="74"/>
        <v/>
      </c>
    </row>
    <row r="911" spans="1:29">
      <c r="A911" s="367" t="str">
        <v/>
      </c>
      <c r="H911" s="391" t="str">
        <f t="shared" si="70"/>
        <v/>
      </c>
      <c r="I911" s="391" t="str">
        <f t="shared" si="71"/>
        <v/>
      </c>
      <c r="J911" s="391" t="str">
        <f t="shared" si="72"/>
        <v/>
      </c>
      <c r="K911" s="391" t="str">
        <f t="shared" si="73"/>
        <v/>
      </c>
      <c r="O911" s="367" t="str">
        <v/>
      </c>
      <c r="S911" s="1" t="str">
        <v/>
      </c>
      <c r="AC911" s="367" t="str">
        <f t="shared" si="74"/>
        <v/>
      </c>
    </row>
    <row r="912" spans="1:29">
      <c r="A912" s="367" t="str">
        <v/>
      </c>
      <c r="H912" s="391" t="str">
        <f t="shared" si="70"/>
        <v/>
      </c>
      <c r="I912" s="391" t="str">
        <f t="shared" si="71"/>
        <v/>
      </c>
      <c r="J912" s="391" t="str">
        <f t="shared" si="72"/>
        <v/>
      </c>
      <c r="K912" s="391" t="str">
        <f t="shared" si="73"/>
        <v/>
      </c>
      <c r="O912" s="367" t="str">
        <v/>
      </c>
      <c r="S912" s="1" t="str">
        <v/>
      </c>
      <c r="AC912" s="367" t="str">
        <f t="shared" si="74"/>
        <v/>
      </c>
    </row>
    <row r="913" spans="1:29">
      <c r="A913" s="367" t="str">
        <v/>
      </c>
      <c r="H913" s="391" t="str">
        <f t="shared" si="70"/>
        <v/>
      </c>
      <c r="I913" s="391" t="str">
        <f t="shared" si="71"/>
        <v/>
      </c>
      <c r="J913" s="391" t="str">
        <f t="shared" si="72"/>
        <v/>
      </c>
      <c r="K913" s="391" t="str">
        <f t="shared" si="73"/>
        <v/>
      </c>
      <c r="O913" s="367" t="str">
        <v/>
      </c>
      <c r="S913" s="1" t="str">
        <v/>
      </c>
      <c r="AC913" s="367" t="str">
        <f t="shared" si="74"/>
        <v/>
      </c>
    </row>
    <row r="914" spans="1:29">
      <c r="A914" s="367" t="str">
        <v/>
      </c>
      <c r="H914" s="391" t="str">
        <f t="shared" si="70"/>
        <v/>
      </c>
      <c r="I914" s="391" t="str">
        <f t="shared" si="71"/>
        <v/>
      </c>
      <c r="J914" s="391" t="str">
        <f t="shared" si="72"/>
        <v/>
      </c>
      <c r="K914" s="391" t="str">
        <f t="shared" si="73"/>
        <v/>
      </c>
      <c r="O914" s="367" t="str">
        <v/>
      </c>
      <c r="S914" s="1" t="str">
        <v/>
      </c>
      <c r="AC914" s="367" t="str">
        <f t="shared" si="74"/>
        <v/>
      </c>
    </row>
    <row r="915" spans="1:29">
      <c r="A915" s="367" t="str">
        <v/>
      </c>
      <c r="H915" s="391" t="str">
        <f t="shared" si="70"/>
        <v/>
      </c>
      <c r="I915" s="391" t="str">
        <f t="shared" si="71"/>
        <v/>
      </c>
      <c r="J915" s="391" t="str">
        <f t="shared" si="72"/>
        <v/>
      </c>
      <c r="K915" s="391" t="str">
        <f t="shared" si="73"/>
        <v/>
      </c>
      <c r="O915" s="367" t="str">
        <v/>
      </c>
      <c r="S915" s="1" t="str">
        <v/>
      </c>
      <c r="AC915" s="367" t="str">
        <f t="shared" si="74"/>
        <v/>
      </c>
    </row>
    <row r="916" spans="1:29">
      <c r="A916" s="367" t="str">
        <v/>
      </c>
      <c r="H916" s="391" t="str">
        <f t="shared" si="70"/>
        <v/>
      </c>
      <c r="I916" s="391" t="str">
        <f t="shared" si="71"/>
        <v/>
      </c>
      <c r="J916" s="391" t="str">
        <f t="shared" si="72"/>
        <v/>
      </c>
      <c r="K916" s="391" t="str">
        <f t="shared" si="73"/>
        <v/>
      </c>
      <c r="O916" s="367" t="str">
        <v/>
      </c>
      <c r="S916" s="1" t="str">
        <v/>
      </c>
      <c r="AC916" s="367" t="str">
        <f t="shared" si="74"/>
        <v/>
      </c>
    </row>
    <row r="917" spans="1:29">
      <c r="A917" s="367" t="str">
        <v/>
      </c>
      <c r="H917" s="391" t="str">
        <f t="shared" si="70"/>
        <v/>
      </c>
      <c r="I917" s="391" t="str">
        <f t="shared" si="71"/>
        <v/>
      </c>
      <c r="J917" s="391" t="str">
        <f t="shared" si="72"/>
        <v/>
      </c>
      <c r="K917" s="391" t="str">
        <f t="shared" si="73"/>
        <v/>
      </c>
      <c r="O917" s="367" t="str">
        <v/>
      </c>
      <c r="S917" s="1" t="str">
        <v/>
      </c>
      <c r="AC917" s="367" t="str">
        <f t="shared" si="74"/>
        <v/>
      </c>
    </row>
    <row r="918" spans="1:29">
      <c r="A918" s="367" t="str">
        <v/>
      </c>
      <c r="H918" s="391" t="str">
        <f t="shared" si="70"/>
        <v/>
      </c>
      <c r="I918" s="391" t="str">
        <f t="shared" si="71"/>
        <v/>
      </c>
      <c r="J918" s="391" t="str">
        <f t="shared" si="72"/>
        <v/>
      </c>
      <c r="K918" s="391" t="str">
        <f t="shared" si="73"/>
        <v/>
      </c>
      <c r="O918" s="367" t="str">
        <v/>
      </c>
      <c r="S918" s="1" t="str">
        <v/>
      </c>
      <c r="AC918" s="367" t="str">
        <f t="shared" si="74"/>
        <v/>
      </c>
    </row>
    <row r="919" spans="1:29">
      <c r="A919" s="367" t="str">
        <v/>
      </c>
      <c r="H919" s="391" t="str">
        <f t="shared" ref="H919:H982" si="75">IF($C919="","",ROUND((($B$2*$F919*($B$5/1000))/$B$6)*(1+IF($B$18="",0,$B$18)),2))</f>
        <v/>
      </c>
      <c r="I919" s="391" t="str">
        <f t="shared" ref="I919:I982" si="76">IF($C919="","",ROUND((($B$3*$F919*($B$5/1000))/$B$6)*(1+IF($B$18="",0,$B$18)),2))</f>
        <v/>
      </c>
      <c r="J919" s="391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1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7" t="str">
        <v/>
      </c>
      <c r="S919" s="1" t="str">
        <v/>
      </c>
      <c r="AC919" s="367" t="str">
        <f t="shared" si="74"/>
        <v/>
      </c>
    </row>
    <row r="920" spans="1:29">
      <c r="A920" s="367" t="str">
        <v/>
      </c>
      <c r="H920" s="391" t="str">
        <f t="shared" si="75"/>
        <v/>
      </c>
      <c r="I920" s="391" t="str">
        <f t="shared" si="76"/>
        <v/>
      </c>
      <c r="J920" s="391" t="str">
        <f t="shared" si="77"/>
        <v/>
      </c>
      <c r="K920" s="391" t="str">
        <f t="shared" si="78"/>
        <v/>
      </c>
      <c r="O920" s="367" t="str">
        <v/>
      </c>
      <c r="S920" s="1" t="str">
        <v/>
      </c>
      <c r="AC920" s="367" t="str">
        <f t="shared" si="74"/>
        <v/>
      </c>
    </row>
    <row r="921" spans="1:29">
      <c r="A921" s="367" t="str">
        <v/>
      </c>
      <c r="H921" s="391" t="str">
        <f t="shared" si="75"/>
        <v/>
      </c>
      <c r="I921" s="391" t="str">
        <f t="shared" si="76"/>
        <v/>
      </c>
      <c r="J921" s="391" t="str">
        <f t="shared" si="77"/>
        <v/>
      </c>
      <c r="K921" s="391" t="str">
        <f t="shared" si="78"/>
        <v/>
      </c>
      <c r="O921" s="367" t="str">
        <v/>
      </c>
      <c r="S921" s="1" t="str">
        <v/>
      </c>
      <c r="AC921" s="367" t="str">
        <f t="shared" si="74"/>
        <v/>
      </c>
    </row>
    <row r="922" spans="1:29">
      <c r="A922" s="367" t="str">
        <v/>
      </c>
      <c r="H922" s="391" t="str">
        <f t="shared" si="75"/>
        <v/>
      </c>
      <c r="I922" s="391" t="str">
        <f t="shared" si="76"/>
        <v/>
      </c>
      <c r="J922" s="391" t="str">
        <f t="shared" si="77"/>
        <v/>
      </c>
      <c r="K922" s="391" t="str">
        <f t="shared" si="78"/>
        <v/>
      </c>
      <c r="O922" s="367" t="str">
        <v/>
      </c>
      <c r="S922" s="1" t="str">
        <v/>
      </c>
      <c r="AC922" s="367" t="str">
        <f t="shared" si="74"/>
        <v/>
      </c>
    </row>
    <row r="923" spans="1:29">
      <c r="A923" s="367" t="str">
        <v/>
      </c>
      <c r="H923" s="391" t="str">
        <f t="shared" si="75"/>
        <v/>
      </c>
      <c r="I923" s="391" t="str">
        <f t="shared" si="76"/>
        <v/>
      </c>
      <c r="J923" s="391" t="str">
        <f t="shared" si="77"/>
        <v/>
      </c>
      <c r="K923" s="391" t="str">
        <f t="shared" si="78"/>
        <v/>
      </c>
      <c r="O923" s="367" t="str">
        <v/>
      </c>
      <c r="S923" s="1" t="str">
        <v/>
      </c>
      <c r="AC923" s="367" t="str">
        <f t="shared" si="74"/>
        <v/>
      </c>
    </row>
    <row r="924" spans="1:29">
      <c r="A924" s="367" t="str">
        <v/>
      </c>
      <c r="H924" s="391" t="str">
        <f t="shared" si="75"/>
        <v/>
      </c>
      <c r="I924" s="391" t="str">
        <f t="shared" si="76"/>
        <v/>
      </c>
      <c r="J924" s="391" t="str">
        <f t="shared" si="77"/>
        <v/>
      </c>
      <c r="K924" s="391" t="str">
        <f t="shared" si="78"/>
        <v/>
      </c>
      <c r="O924" s="367" t="str">
        <v/>
      </c>
      <c r="S924" s="1" t="str">
        <v/>
      </c>
      <c r="AC924" s="367" t="str">
        <f t="shared" si="74"/>
        <v/>
      </c>
    </row>
    <row r="925" spans="1:29">
      <c r="A925" s="367" t="str">
        <v/>
      </c>
      <c r="H925" s="391" t="str">
        <f t="shared" si="75"/>
        <v/>
      </c>
      <c r="I925" s="391" t="str">
        <f t="shared" si="76"/>
        <v/>
      </c>
      <c r="J925" s="391" t="str">
        <f t="shared" si="77"/>
        <v/>
      </c>
      <c r="K925" s="391" t="str">
        <f t="shared" si="78"/>
        <v/>
      </c>
      <c r="O925" s="367" t="str">
        <v/>
      </c>
      <c r="S925" s="1" t="str">
        <v/>
      </c>
      <c r="AC925" s="367" t="str">
        <f t="shared" si="74"/>
        <v/>
      </c>
    </row>
    <row r="926" spans="1:29">
      <c r="A926" s="367" t="str">
        <v/>
      </c>
      <c r="H926" s="391" t="str">
        <f t="shared" si="75"/>
        <v/>
      </c>
      <c r="I926" s="391" t="str">
        <f t="shared" si="76"/>
        <v/>
      </c>
      <c r="J926" s="391" t="str">
        <f t="shared" si="77"/>
        <v/>
      </c>
      <c r="K926" s="391" t="str">
        <f t="shared" si="78"/>
        <v/>
      </c>
      <c r="O926" s="367" t="str">
        <v/>
      </c>
      <c r="S926" s="1" t="str">
        <v/>
      </c>
      <c r="AC926" s="367" t="str">
        <f t="shared" si="74"/>
        <v/>
      </c>
    </row>
    <row r="927" spans="1:29">
      <c r="A927" s="367" t="str">
        <v/>
      </c>
      <c r="H927" s="391" t="str">
        <f t="shared" si="75"/>
        <v/>
      </c>
      <c r="I927" s="391" t="str">
        <f t="shared" si="76"/>
        <v/>
      </c>
      <c r="J927" s="391" t="str">
        <f t="shared" si="77"/>
        <v/>
      </c>
      <c r="K927" s="391" t="str">
        <f t="shared" si="78"/>
        <v/>
      </c>
      <c r="O927" s="367" t="str">
        <v/>
      </c>
      <c r="S927" s="1" t="str">
        <v/>
      </c>
      <c r="AC927" s="367" t="str">
        <f t="shared" si="74"/>
        <v/>
      </c>
    </row>
    <row r="928" spans="1:29">
      <c r="A928" s="367" t="str">
        <v/>
      </c>
      <c r="H928" s="391" t="str">
        <f t="shared" si="75"/>
        <v/>
      </c>
      <c r="I928" s="391" t="str">
        <f t="shared" si="76"/>
        <v/>
      </c>
      <c r="J928" s="391" t="str">
        <f t="shared" si="77"/>
        <v/>
      </c>
      <c r="K928" s="391" t="str">
        <f t="shared" si="78"/>
        <v/>
      </c>
      <c r="O928" s="367" t="str">
        <v/>
      </c>
      <c r="S928" s="1" t="str">
        <v/>
      </c>
      <c r="AC928" s="367" t="str">
        <f t="shared" si="74"/>
        <v/>
      </c>
    </row>
    <row r="929" spans="1:29">
      <c r="A929" s="367" t="str">
        <v/>
      </c>
      <c r="H929" s="391" t="str">
        <f t="shared" si="75"/>
        <v/>
      </c>
      <c r="I929" s="391" t="str">
        <f t="shared" si="76"/>
        <v/>
      </c>
      <c r="J929" s="391" t="str">
        <f t="shared" si="77"/>
        <v/>
      </c>
      <c r="K929" s="391" t="str">
        <f t="shared" si="78"/>
        <v/>
      </c>
      <c r="O929" s="367" t="str">
        <v/>
      </c>
      <c r="S929" s="1" t="str">
        <v/>
      </c>
      <c r="AC929" s="367" t="str">
        <f t="shared" si="74"/>
        <v/>
      </c>
    </row>
    <row r="930" spans="1:29">
      <c r="A930" s="367" t="str">
        <v/>
      </c>
      <c r="H930" s="391" t="str">
        <f t="shared" si="75"/>
        <v/>
      </c>
      <c r="I930" s="391" t="str">
        <f t="shared" si="76"/>
        <v/>
      </c>
      <c r="J930" s="391" t="str">
        <f t="shared" si="77"/>
        <v/>
      </c>
      <c r="K930" s="391" t="str">
        <f t="shared" si="78"/>
        <v/>
      </c>
      <c r="O930" s="367" t="str">
        <v/>
      </c>
      <c r="S930" s="1" t="str">
        <v/>
      </c>
      <c r="AC930" s="367" t="str">
        <f t="shared" si="74"/>
        <v/>
      </c>
    </row>
    <row r="931" spans="1:29">
      <c r="A931" s="367" t="str">
        <v/>
      </c>
      <c r="H931" s="391" t="str">
        <f t="shared" si="75"/>
        <v/>
      </c>
      <c r="I931" s="391" t="str">
        <f t="shared" si="76"/>
        <v/>
      </c>
      <c r="J931" s="391" t="str">
        <f t="shared" si="77"/>
        <v/>
      </c>
      <c r="K931" s="391" t="str">
        <f t="shared" si="78"/>
        <v/>
      </c>
      <c r="O931" s="367" t="str">
        <v/>
      </c>
      <c r="S931" s="1" t="str">
        <v/>
      </c>
      <c r="AC931" s="367" t="str">
        <f t="shared" si="74"/>
        <v/>
      </c>
    </row>
    <row r="932" spans="1:29">
      <c r="A932" s="367" t="str">
        <v/>
      </c>
      <c r="H932" s="391" t="str">
        <f t="shared" si="75"/>
        <v/>
      </c>
      <c r="I932" s="391" t="str">
        <f t="shared" si="76"/>
        <v/>
      </c>
      <c r="J932" s="391" t="str">
        <f t="shared" si="77"/>
        <v/>
      </c>
      <c r="K932" s="391" t="str">
        <f t="shared" si="78"/>
        <v/>
      </c>
      <c r="O932" s="367" t="str">
        <v/>
      </c>
      <c r="S932" s="1" t="str">
        <v/>
      </c>
      <c r="AC932" s="367" t="str">
        <f t="shared" si="74"/>
        <v/>
      </c>
    </row>
    <row r="933" spans="1:29">
      <c r="A933" s="367" t="str">
        <v/>
      </c>
      <c r="H933" s="391" t="str">
        <f t="shared" si="75"/>
        <v/>
      </c>
      <c r="I933" s="391" t="str">
        <f t="shared" si="76"/>
        <v/>
      </c>
      <c r="J933" s="391" t="str">
        <f t="shared" si="77"/>
        <v/>
      </c>
      <c r="K933" s="391" t="str">
        <f t="shared" si="78"/>
        <v/>
      </c>
      <c r="O933" s="367" t="str">
        <v/>
      </c>
      <c r="S933" s="1" t="str">
        <v/>
      </c>
      <c r="AC933" s="367" t="str">
        <f t="shared" si="74"/>
        <v/>
      </c>
    </row>
    <row r="934" spans="1:29">
      <c r="A934" s="367" t="str">
        <v/>
      </c>
      <c r="H934" s="391" t="str">
        <f t="shared" si="75"/>
        <v/>
      </c>
      <c r="I934" s="391" t="str">
        <f t="shared" si="76"/>
        <v/>
      </c>
      <c r="J934" s="391" t="str">
        <f t="shared" si="77"/>
        <v/>
      </c>
      <c r="K934" s="391" t="str">
        <f t="shared" si="78"/>
        <v/>
      </c>
      <c r="O934" s="367" t="str">
        <v/>
      </c>
      <c r="S934" s="1" t="str">
        <v/>
      </c>
      <c r="AC934" s="367" t="str">
        <f t="shared" si="74"/>
        <v/>
      </c>
    </row>
    <row r="935" spans="1:29">
      <c r="A935" s="367" t="str">
        <v/>
      </c>
      <c r="H935" s="391" t="str">
        <f t="shared" si="75"/>
        <v/>
      </c>
      <c r="I935" s="391" t="str">
        <f t="shared" si="76"/>
        <v/>
      </c>
      <c r="J935" s="391" t="str">
        <f t="shared" si="77"/>
        <v/>
      </c>
      <c r="K935" s="391" t="str">
        <f t="shared" si="78"/>
        <v/>
      </c>
      <c r="O935" s="367" t="str">
        <v/>
      </c>
      <c r="S935" s="1" t="str">
        <v/>
      </c>
      <c r="AC935" s="367" t="str">
        <f t="shared" si="74"/>
        <v/>
      </c>
    </row>
    <row r="936" spans="1:29">
      <c r="A936" s="367" t="str">
        <v/>
      </c>
      <c r="H936" s="391" t="str">
        <f t="shared" si="75"/>
        <v/>
      </c>
      <c r="I936" s="391" t="str">
        <f t="shared" si="76"/>
        <v/>
      </c>
      <c r="J936" s="391" t="str">
        <f t="shared" si="77"/>
        <v/>
      </c>
      <c r="K936" s="391" t="str">
        <f t="shared" si="78"/>
        <v/>
      </c>
      <c r="O936" s="367" t="str">
        <v/>
      </c>
      <c r="S936" s="1" t="str">
        <v/>
      </c>
      <c r="AC936" s="367" t="str">
        <f t="shared" si="74"/>
        <v/>
      </c>
    </row>
    <row r="937" spans="1:29">
      <c r="A937" s="367" t="str">
        <v/>
      </c>
      <c r="H937" s="391" t="str">
        <f t="shared" si="75"/>
        <v/>
      </c>
      <c r="I937" s="391" t="str">
        <f t="shared" si="76"/>
        <v/>
      </c>
      <c r="J937" s="391" t="str">
        <f t="shared" si="77"/>
        <v/>
      </c>
      <c r="K937" s="391" t="str">
        <f t="shared" si="78"/>
        <v/>
      </c>
      <c r="O937" s="367" t="str">
        <v/>
      </c>
      <c r="S937" s="1" t="str">
        <v/>
      </c>
      <c r="AC937" s="367" t="str">
        <f t="shared" si="74"/>
        <v/>
      </c>
    </row>
    <row r="938" spans="1:29">
      <c r="A938" s="367" t="str">
        <v/>
      </c>
      <c r="H938" s="391" t="str">
        <f t="shared" si="75"/>
        <v/>
      </c>
      <c r="I938" s="391" t="str">
        <f t="shared" si="76"/>
        <v/>
      </c>
      <c r="J938" s="391" t="str">
        <f t="shared" si="77"/>
        <v/>
      </c>
      <c r="K938" s="391" t="str">
        <f t="shared" si="78"/>
        <v/>
      </c>
      <c r="O938" s="367" t="str">
        <v/>
      </c>
      <c r="S938" s="1" t="str">
        <v/>
      </c>
      <c r="AC938" s="367" t="str">
        <f t="shared" si="74"/>
        <v/>
      </c>
    </row>
    <row r="939" spans="1:29">
      <c r="A939" s="367" t="str">
        <v/>
      </c>
      <c r="H939" s="391" t="str">
        <f t="shared" si="75"/>
        <v/>
      </c>
      <c r="I939" s="391" t="str">
        <f t="shared" si="76"/>
        <v/>
      </c>
      <c r="J939" s="391" t="str">
        <f t="shared" si="77"/>
        <v/>
      </c>
      <c r="K939" s="391" t="str">
        <f t="shared" si="78"/>
        <v/>
      </c>
      <c r="O939" s="367" t="str">
        <v/>
      </c>
      <c r="S939" s="1" t="str">
        <v/>
      </c>
      <c r="AC939" s="367" t="str">
        <f t="shared" si="74"/>
        <v/>
      </c>
    </row>
    <row r="940" spans="1:29">
      <c r="A940" s="367" t="str">
        <v/>
      </c>
      <c r="H940" s="391" t="str">
        <f t="shared" si="75"/>
        <v/>
      </c>
      <c r="I940" s="391" t="str">
        <f t="shared" si="76"/>
        <v/>
      </c>
      <c r="J940" s="391" t="str">
        <f t="shared" si="77"/>
        <v/>
      </c>
      <c r="K940" s="391" t="str">
        <f t="shared" si="78"/>
        <v/>
      </c>
      <c r="O940" s="367" t="str">
        <v/>
      </c>
      <c r="S940" s="1" t="str">
        <v/>
      </c>
      <c r="AC940" s="367" t="str">
        <f t="shared" si="74"/>
        <v/>
      </c>
    </row>
    <row r="941" spans="1:29">
      <c r="A941" s="367" t="str">
        <v/>
      </c>
      <c r="H941" s="391" t="str">
        <f t="shared" si="75"/>
        <v/>
      </c>
      <c r="I941" s="391" t="str">
        <f t="shared" si="76"/>
        <v/>
      </c>
      <c r="J941" s="391" t="str">
        <f t="shared" si="77"/>
        <v/>
      </c>
      <c r="K941" s="391" t="str">
        <f t="shared" si="78"/>
        <v/>
      </c>
      <c r="O941" s="367" t="str">
        <v/>
      </c>
      <c r="S941" s="1" t="str">
        <v/>
      </c>
      <c r="AC941" s="367" t="str">
        <f t="shared" si="74"/>
        <v/>
      </c>
    </row>
    <row r="942" spans="1:29">
      <c r="A942" s="367" t="str">
        <v/>
      </c>
      <c r="H942" s="391" t="str">
        <f t="shared" si="75"/>
        <v/>
      </c>
      <c r="I942" s="391" t="str">
        <f t="shared" si="76"/>
        <v/>
      </c>
      <c r="J942" s="391" t="str">
        <f t="shared" si="77"/>
        <v/>
      </c>
      <c r="K942" s="391" t="str">
        <f t="shared" si="78"/>
        <v/>
      </c>
      <c r="O942" s="367" t="str">
        <v/>
      </c>
      <c r="S942" s="1" t="str">
        <v/>
      </c>
      <c r="AC942" s="367" t="str">
        <f t="shared" si="74"/>
        <v/>
      </c>
    </row>
    <row r="943" spans="1:29">
      <c r="A943" s="367" t="str">
        <v/>
      </c>
      <c r="H943" s="391" t="str">
        <f t="shared" si="75"/>
        <v/>
      </c>
      <c r="I943" s="391" t="str">
        <f t="shared" si="76"/>
        <v/>
      </c>
      <c r="J943" s="391" t="str">
        <f t="shared" si="77"/>
        <v/>
      </c>
      <c r="K943" s="391" t="str">
        <f t="shared" si="78"/>
        <v/>
      </c>
      <c r="O943" s="367" t="str">
        <v/>
      </c>
      <c r="S943" s="1" t="str">
        <v/>
      </c>
      <c r="AC943" s="367" t="str">
        <f t="shared" si="74"/>
        <v/>
      </c>
    </row>
    <row r="944" spans="1:29">
      <c r="A944" s="367" t="str">
        <v/>
      </c>
      <c r="H944" s="391" t="str">
        <f t="shared" si="75"/>
        <v/>
      </c>
      <c r="I944" s="391" t="str">
        <f t="shared" si="76"/>
        <v/>
      </c>
      <c r="J944" s="391" t="str">
        <f t="shared" si="77"/>
        <v/>
      </c>
      <c r="K944" s="391" t="str">
        <f t="shared" si="78"/>
        <v/>
      </c>
      <c r="O944" s="367" t="str">
        <v/>
      </c>
      <c r="S944" s="1" t="str">
        <v/>
      </c>
      <c r="AC944" s="367" t="str">
        <f t="shared" ref="AC944:AC1000" si="79">IF($AB944&lt;&gt;"",$AB944,IFERROR(ROUNDUP($Z944/$Y944,1),""))</f>
        <v/>
      </c>
    </row>
    <row r="945" spans="1:29">
      <c r="A945" s="367" t="str">
        <v/>
      </c>
      <c r="H945" s="391" t="str">
        <f t="shared" si="75"/>
        <v/>
      </c>
      <c r="I945" s="391" t="str">
        <f t="shared" si="76"/>
        <v/>
      </c>
      <c r="J945" s="391" t="str">
        <f t="shared" si="77"/>
        <v/>
      </c>
      <c r="K945" s="391" t="str">
        <f t="shared" si="78"/>
        <v/>
      </c>
      <c r="O945" s="367" t="str">
        <v/>
      </c>
      <c r="S945" s="1" t="str">
        <v/>
      </c>
      <c r="AC945" s="367" t="str">
        <f t="shared" si="79"/>
        <v/>
      </c>
    </row>
    <row r="946" spans="1:29">
      <c r="A946" s="367" t="str">
        <v/>
      </c>
      <c r="H946" s="391" t="str">
        <f t="shared" si="75"/>
        <v/>
      </c>
      <c r="I946" s="391" t="str">
        <f t="shared" si="76"/>
        <v/>
      </c>
      <c r="J946" s="391" t="str">
        <f t="shared" si="77"/>
        <v/>
      </c>
      <c r="K946" s="391" t="str">
        <f t="shared" si="78"/>
        <v/>
      </c>
      <c r="O946" s="367" t="str">
        <v/>
      </c>
      <c r="S946" s="1" t="str">
        <v/>
      </c>
      <c r="AC946" s="367" t="str">
        <f t="shared" si="79"/>
        <v/>
      </c>
    </row>
    <row r="947" spans="1:29">
      <c r="A947" s="367" t="str">
        <v/>
      </c>
      <c r="H947" s="391" t="str">
        <f t="shared" si="75"/>
        <v/>
      </c>
      <c r="I947" s="391" t="str">
        <f t="shared" si="76"/>
        <v/>
      </c>
      <c r="J947" s="391" t="str">
        <f t="shared" si="77"/>
        <v/>
      </c>
      <c r="K947" s="391" t="str">
        <f t="shared" si="78"/>
        <v/>
      </c>
      <c r="O947" s="367" t="str">
        <v/>
      </c>
      <c r="S947" s="1" t="str">
        <v/>
      </c>
      <c r="AC947" s="367" t="str">
        <f t="shared" si="79"/>
        <v/>
      </c>
    </row>
    <row r="948" spans="1:29">
      <c r="A948" s="367" t="str">
        <v/>
      </c>
      <c r="H948" s="391" t="str">
        <f t="shared" si="75"/>
        <v/>
      </c>
      <c r="I948" s="391" t="str">
        <f t="shared" si="76"/>
        <v/>
      </c>
      <c r="J948" s="391" t="str">
        <f t="shared" si="77"/>
        <v/>
      </c>
      <c r="K948" s="391" t="str">
        <f t="shared" si="78"/>
        <v/>
      </c>
      <c r="O948" s="367" t="str">
        <v/>
      </c>
      <c r="S948" s="1" t="str">
        <v/>
      </c>
      <c r="AC948" s="367" t="str">
        <f t="shared" si="79"/>
        <v/>
      </c>
    </row>
    <row r="949" spans="1:29">
      <c r="A949" s="367" t="str">
        <v/>
      </c>
      <c r="H949" s="391" t="str">
        <f t="shared" si="75"/>
        <v/>
      </c>
      <c r="I949" s="391" t="str">
        <f t="shared" si="76"/>
        <v/>
      </c>
      <c r="J949" s="391" t="str">
        <f t="shared" si="77"/>
        <v/>
      </c>
      <c r="K949" s="391" t="str">
        <f t="shared" si="78"/>
        <v/>
      </c>
      <c r="O949" s="367" t="str">
        <v/>
      </c>
      <c r="S949" s="1" t="str">
        <v/>
      </c>
      <c r="AC949" s="367" t="str">
        <f t="shared" si="79"/>
        <v/>
      </c>
    </row>
    <row r="950" spans="1:29">
      <c r="A950" s="367" t="str">
        <v/>
      </c>
      <c r="H950" s="391" t="str">
        <f t="shared" si="75"/>
        <v/>
      </c>
      <c r="I950" s="391" t="str">
        <f t="shared" si="76"/>
        <v/>
      </c>
      <c r="J950" s="391" t="str">
        <f t="shared" si="77"/>
        <v/>
      </c>
      <c r="K950" s="391" t="str">
        <f t="shared" si="78"/>
        <v/>
      </c>
      <c r="O950" s="367" t="str">
        <v/>
      </c>
      <c r="S950" s="1" t="str">
        <v/>
      </c>
      <c r="AC950" s="367" t="str">
        <f t="shared" si="79"/>
        <v/>
      </c>
    </row>
    <row r="951" spans="1:29">
      <c r="A951" s="367" t="str">
        <v/>
      </c>
      <c r="H951" s="391" t="str">
        <f t="shared" si="75"/>
        <v/>
      </c>
      <c r="I951" s="391" t="str">
        <f t="shared" si="76"/>
        <v/>
      </c>
      <c r="J951" s="391" t="str">
        <f t="shared" si="77"/>
        <v/>
      </c>
      <c r="K951" s="391" t="str">
        <f t="shared" si="78"/>
        <v/>
      </c>
      <c r="O951" s="367" t="str">
        <v/>
      </c>
      <c r="S951" s="1" t="str">
        <v/>
      </c>
      <c r="AC951" s="367" t="str">
        <f t="shared" si="79"/>
        <v/>
      </c>
    </row>
    <row r="952" spans="1:29">
      <c r="A952" s="367" t="str">
        <v/>
      </c>
      <c r="H952" s="391" t="str">
        <f t="shared" si="75"/>
        <v/>
      </c>
      <c r="I952" s="391" t="str">
        <f t="shared" si="76"/>
        <v/>
      </c>
      <c r="J952" s="391" t="str">
        <f t="shared" si="77"/>
        <v/>
      </c>
      <c r="K952" s="391" t="str">
        <f t="shared" si="78"/>
        <v/>
      </c>
      <c r="O952" s="367" t="str">
        <v/>
      </c>
      <c r="S952" s="1" t="str">
        <v/>
      </c>
      <c r="AC952" s="367" t="str">
        <f t="shared" si="79"/>
        <v/>
      </c>
    </row>
    <row r="953" spans="1:29">
      <c r="A953" s="367" t="str">
        <v/>
      </c>
      <c r="H953" s="391" t="str">
        <f t="shared" si="75"/>
        <v/>
      </c>
      <c r="I953" s="391" t="str">
        <f t="shared" si="76"/>
        <v/>
      </c>
      <c r="J953" s="391" t="str">
        <f t="shared" si="77"/>
        <v/>
      </c>
      <c r="K953" s="391" t="str">
        <f t="shared" si="78"/>
        <v/>
      </c>
      <c r="O953" s="367" t="str">
        <v/>
      </c>
      <c r="S953" s="1" t="str">
        <v/>
      </c>
      <c r="AC953" s="367" t="str">
        <f t="shared" si="79"/>
        <v/>
      </c>
    </row>
    <row r="954" spans="1:29">
      <c r="A954" s="367" t="str">
        <v/>
      </c>
      <c r="H954" s="391" t="str">
        <f t="shared" si="75"/>
        <v/>
      </c>
      <c r="I954" s="391" t="str">
        <f t="shared" si="76"/>
        <v/>
      </c>
      <c r="J954" s="391" t="str">
        <f t="shared" si="77"/>
        <v/>
      </c>
      <c r="K954" s="391" t="str">
        <f t="shared" si="78"/>
        <v/>
      </c>
      <c r="O954" s="367" t="str">
        <v/>
      </c>
      <c r="S954" s="1" t="str">
        <v/>
      </c>
      <c r="AC954" s="367" t="str">
        <f t="shared" si="79"/>
        <v/>
      </c>
    </row>
    <row r="955" spans="1:29">
      <c r="A955" s="367" t="str">
        <v/>
      </c>
      <c r="H955" s="391" t="str">
        <f t="shared" si="75"/>
        <v/>
      </c>
      <c r="I955" s="391" t="str">
        <f t="shared" si="76"/>
        <v/>
      </c>
      <c r="J955" s="391" t="str">
        <f t="shared" si="77"/>
        <v/>
      </c>
      <c r="K955" s="391" t="str">
        <f t="shared" si="78"/>
        <v/>
      </c>
      <c r="O955" s="367" t="str">
        <v/>
      </c>
      <c r="S955" s="1" t="str">
        <v/>
      </c>
      <c r="AC955" s="367" t="str">
        <f t="shared" si="79"/>
        <v/>
      </c>
    </row>
    <row r="956" spans="1:29">
      <c r="A956" s="367" t="str">
        <v/>
      </c>
      <c r="H956" s="391" t="str">
        <f t="shared" si="75"/>
        <v/>
      </c>
      <c r="I956" s="391" t="str">
        <f t="shared" si="76"/>
        <v/>
      </c>
      <c r="J956" s="391" t="str">
        <f t="shared" si="77"/>
        <v/>
      </c>
      <c r="K956" s="391" t="str">
        <f t="shared" si="78"/>
        <v/>
      </c>
      <c r="O956" s="367" t="str">
        <v/>
      </c>
      <c r="S956" s="1" t="str">
        <v/>
      </c>
      <c r="AC956" s="367" t="str">
        <f t="shared" si="79"/>
        <v/>
      </c>
    </row>
    <row r="957" spans="1:29">
      <c r="A957" s="367" t="str">
        <v/>
      </c>
      <c r="H957" s="391" t="str">
        <f t="shared" si="75"/>
        <v/>
      </c>
      <c r="I957" s="391" t="str">
        <f t="shared" si="76"/>
        <v/>
      </c>
      <c r="J957" s="391" t="str">
        <f t="shared" si="77"/>
        <v/>
      </c>
      <c r="K957" s="391" t="str">
        <f t="shared" si="78"/>
        <v/>
      </c>
      <c r="O957" s="367" t="str">
        <v/>
      </c>
      <c r="S957" s="1" t="str">
        <v/>
      </c>
      <c r="AC957" s="367" t="str">
        <f t="shared" si="79"/>
        <v/>
      </c>
    </row>
    <row r="958" spans="1:29">
      <c r="A958" s="367" t="str">
        <v/>
      </c>
      <c r="H958" s="391" t="str">
        <f t="shared" si="75"/>
        <v/>
      </c>
      <c r="I958" s="391" t="str">
        <f t="shared" si="76"/>
        <v/>
      </c>
      <c r="J958" s="391" t="str">
        <f t="shared" si="77"/>
        <v/>
      </c>
      <c r="K958" s="391" t="str">
        <f t="shared" si="78"/>
        <v/>
      </c>
      <c r="O958" s="367" t="str">
        <v/>
      </c>
      <c r="S958" s="1" t="str">
        <v/>
      </c>
      <c r="AC958" s="367" t="str">
        <f t="shared" si="79"/>
        <v/>
      </c>
    </row>
    <row r="959" spans="1:29">
      <c r="A959" s="367" t="str">
        <v/>
      </c>
      <c r="H959" s="391" t="str">
        <f t="shared" si="75"/>
        <v/>
      </c>
      <c r="I959" s="391" t="str">
        <f t="shared" si="76"/>
        <v/>
      </c>
      <c r="J959" s="391" t="str">
        <f t="shared" si="77"/>
        <v/>
      </c>
      <c r="K959" s="391" t="str">
        <f t="shared" si="78"/>
        <v/>
      </c>
      <c r="O959" s="367" t="str">
        <v/>
      </c>
      <c r="S959" s="1" t="str">
        <v/>
      </c>
      <c r="AC959" s="367" t="str">
        <f t="shared" si="79"/>
        <v/>
      </c>
    </row>
    <row r="960" spans="1:29">
      <c r="A960" s="367" t="str">
        <v/>
      </c>
      <c r="H960" s="391" t="str">
        <f t="shared" si="75"/>
        <v/>
      </c>
      <c r="I960" s="391" t="str">
        <f t="shared" si="76"/>
        <v/>
      </c>
      <c r="J960" s="391" t="str">
        <f t="shared" si="77"/>
        <v/>
      </c>
      <c r="K960" s="391" t="str">
        <f t="shared" si="78"/>
        <v/>
      </c>
      <c r="O960" s="367" t="str">
        <v/>
      </c>
      <c r="S960" s="1" t="str">
        <v/>
      </c>
      <c r="AC960" s="367" t="str">
        <f t="shared" si="79"/>
        <v/>
      </c>
    </row>
    <row r="961" spans="1:29">
      <c r="A961" s="367" t="str">
        <v/>
      </c>
      <c r="H961" s="391" t="str">
        <f t="shared" si="75"/>
        <v/>
      </c>
      <c r="I961" s="391" t="str">
        <f t="shared" si="76"/>
        <v/>
      </c>
      <c r="J961" s="391" t="str">
        <f t="shared" si="77"/>
        <v/>
      </c>
      <c r="K961" s="391" t="str">
        <f t="shared" si="78"/>
        <v/>
      </c>
      <c r="O961" s="367" t="str">
        <v/>
      </c>
      <c r="S961" s="1" t="str">
        <v/>
      </c>
      <c r="AC961" s="367" t="str">
        <f t="shared" si="79"/>
        <v/>
      </c>
    </row>
    <row r="962" spans="1:29">
      <c r="A962" s="367" t="str">
        <v/>
      </c>
      <c r="H962" s="391" t="str">
        <f t="shared" si="75"/>
        <v/>
      </c>
      <c r="I962" s="391" t="str">
        <f t="shared" si="76"/>
        <v/>
      </c>
      <c r="J962" s="391" t="str">
        <f t="shared" si="77"/>
        <v/>
      </c>
      <c r="K962" s="391" t="str">
        <f t="shared" si="78"/>
        <v/>
      </c>
      <c r="O962" s="367" t="str">
        <v/>
      </c>
      <c r="S962" s="1" t="str">
        <v/>
      </c>
      <c r="AC962" s="367" t="str">
        <f t="shared" si="79"/>
        <v/>
      </c>
    </row>
    <row r="963" spans="1:29">
      <c r="A963" s="367" t="str">
        <v/>
      </c>
      <c r="H963" s="391" t="str">
        <f t="shared" si="75"/>
        <v/>
      </c>
      <c r="I963" s="391" t="str">
        <f t="shared" si="76"/>
        <v/>
      </c>
      <c r="J963" s="391" t="str">
        <f t="shared" si="77"/>
        <v/>
      </c>
      <c r="K963" s="391" t="str">
        <f t="shared" si="78"/>
        <v/>
      </c>
      <c r="O963" s="367" t="str">
        <v/>
      </c>
      <c r="S963" s="1" t="str">
        <v/>
      </c>
      <c r="AC963" s="367" t="str">
        <f t="shared" si="79"/>
        <v/>
      </c>
    </row>
    <row r="964" spans="1:29">
      <c r="A964" s="367" t="str">
        <v/>
      </c>
      <c r="H964" s="391" t="str">
        <f t="shared" si="75"/>
        <v/>
      </c>
      <c r="I964" s="391" t="str">
        <f t="shared" si="76"/>
        <v/>
      </c>
      <c r="J964" s="391" t="str">
        <f t="shared" si="77"/>
        <v/>
      </c>
      <c r="K964" s="391" t="str">
        <f t="shared" si="78"/>
        <v/>
      </c>
      <c r="O964" s="367" t="str">
        <v/>
      </c>
      <c r="S964" s="1" t="str">
        <v/>
      </c>
      <c r="AC964" s="367" t="str">
        <f t="shared" si="79"/>
        <v/>
      </c>
    </row>
    <row r="965" spans="1:29">
      <c r="A965" s="367" t="str">
        <v/>
      </c>
      <c r="H965" s="391" t="str">
        <f t="shared" si="75"/>
        <v/>
      </c>
      <c r="I965" s="391" t="str">
        <f t="shared" si="76"/>
        <v/>
      </c>
      <c r="J965" s="391" t="str">
        <f t="shared" si="77"/>
        <v/>
      </c>
      <c r="K965" s="391" t="str">
        <f t="shared" si="78"/>
        <v/>
      </c>
      <c r="O965" s="367" t="str">
        <v/>
      </c>
      <c r="S965" s="1" t="str">
        <v/>
      </c>
      <c r="AC965" s="367" t="str">
        <f t="shared" si="79"/>
        <v/>
      </c>
    </row>
    <row r="966" spans="1:29">
      <c r="A966" s="367" t="str">
        <v/>
      </c>
      <c r="H966" s="391" t="str">
        <f t="shared" si="75"/>
        <v/>
      </c>
      <c r="I966" s="391" t="str">
        <f t="shared" si="76"/>
        <v/>
      </c>
      <c r="J966" s="391" t="str">
        <f t="shared" si="77"/>
        <v/>
      </c>
      <c r="K966" s="391" t="str">
        <f t="shared" si="78"/>
        <v/>
      </c>
      <c r="O966" s="367" t="str">
        <v/>
      </c>
      <c r="S966" s="1" t="str">
        <v/>
      </c>
      <c r="AC966" s="367" t="str">
        <f t="shared" si="79"/>
        <v/>
      </c>
    </row>
    <row r="967" spans="1:29">
      <c r="A967" s="367" t="str">
        <v/>
      </c>
      <c r="H967" s="391" t="str">
        <f t="shared" si="75"/>
        <v/>
      </c>
      <c r="I967" s="391" t="str">
        <f t="shared" si="76"/>
        <v/>
      </c>
      <c r="J967" s="391" t="str">
        <f t="shared" si="77"/>
        <v/>
      </c>
      <c r="K967" s="391" t="str">
        <f t="shared" si="78"/>
        <v/>
      </c>
      <c r="O967" s="367" t="str">
        <v/>
      </c>
      <c r="S967" s="1" t="str">
        <v/>
      </c>
      <c r="AC967" s="367" t="str">
        <f t="shared" si="79"/>
        <v/>
      </c>
    </row>
    <row r="968" spans="1:29">
      <c r="A968" s="367" t="str">
        <v/>
      </c>
      <c r="H968" s="391" t="str">
        <f t="shared" si="75"/>
        <v/>
      </c>
      <c r="I968" s="391" t="str">
        <f t="shared" si="76"/>
        <v/>
      </c>
      <c r="J968" s="391" t="str">
        <f t="shared" si="77"/>
        <v/>
      </c>
      <c r="K968" s="391" t="str">
        <f t="shared" si="78"/>
        <v/>
      </c>
      <c r="O968" s="367" t="str">
        <v/>
      </c>
      <c r="S968" s="1" t="str">
        <v/>
      </c>
      <c r="AC968" s="367" t="str">
        <f t="shared" si="79"/>
        <v/>
      </c>
    </row>
    <row r="969" spans="1:29">
      <c r="A969" s="367" t="str">
        <v/>
      </c>
      <c r="H969" s="391" t="str">
        <f t="shared" si="75"/>
        <v/>
      </c>
      <c r="I969" s="391" t="str">
        <f t="shared" si="76"/>
        <v/>
      </c>
      <c r="J969" s="391" t="str">
        <f t="shared" si="77"/>
        <v/>
      </c>
      <c r="K969" s="391" t="str">
        <f t="shared" si="78"/>
        <v/>
      </c>
      <c r="O969" s="367" t="str">
        <v/>
      </c>
      <c r="S969" s="1" t="str">
        <v/>
      </c>
      <c r="AC969" s="367" t="str">
        <f t="shared" si="79"/>
        <v/>
      </c>
    </row>
    <row r="970" spans="1:29">
      <c r="A970" s="367" t="str">
        <v/>
      </c>
      <c r="H970" s="391" t="str">
        <f t="shared" si="75"/>
        <v/>
      </c>
      <c r="I970" s="391" t="str">
        <f t="shared" si="76"/>
        <v/>
      </c>
      <c r="J970" s="391" t="str">
        <f t="shared" si="77"/>
        <v/>
      </c>
      <c r="K970" s="391" t="str">
        <f t="shared" si="78"/>
        <v/>
      </c>
      <c r="O970" s="367" t="str">
        <v/>
      </c>
      <c r="S970" s="1" t="str">
        <v/>
      </c>
      <c r="AC970" s="367" t="str">
        <f t="shared" si="79"/>
        <v/>
      </c>
    </row>
    <row r="971" spans="1:29">
      <c r="A971" s="367" t="str">
        <v/>
      </c>
      <c r="H971" s="391" t="str">
        <f t="shared" si="75"/>
        <v/>
      </c>
      <c r="I971" s="391" t="str">
        <f t="shared" si="76"/>
        <v/>
      </c>
      <c r="J971" s="391" t="str">
        <f t="shared" si="77"/>
        <v/>
      </c>
      <c r="K971" s="391" t="str">
        <f t="shared" si="78"/>
        <v/>
      </c>
      <c r="O971" s="367" t="str">
        <v/>
      </c>
      <c r="S971" s="1" t="str">
        <v/>
      </c>
      <c r="AC971" s="367" t="str">
        <f t="shared" si="79"/>
        <v/>
      </c>
    </row>
    <row r="972" spans="1:29">
      <c r="A972" s="367" t="str">
        <v/>
      </c>
      <c r="H972" s="391" t="str">
        <f t="shared" si="75"/>
        <v/>
      </c>
      <c r="I972" s="391" t="str">
        <f t="shared" si="76"/>
        <v/>
      </c>
      <c r="J972" s="391" t="str">
        <f t="shared" si="77"/>
        <v/>
      </c>
      <c r="K972" s="391" t="str">
        <f t="shared" si="78"/>
        <v/>
      </c>
      <c r="O972" s="367" t="str">
        <v/>
      </c>
      <c r="S972" s="1" t="str">
        <v/>
      </c>
      <c r="AC972" s="367" t="str">
        <f t="shared" si="79"/>
        <v/>
      </c>
    </row>
    <row r="973" spans="1:29">
      <c r="A973" s="367" t="str">
        <v/>
      </c>
      <c r="H973" s="391" t="str">
        <f t="shared" si="75"/>
        <v/>
      </c>
      <c r="I973" s="391" t="str">
        <f t="shared" si="76"/>
        <v/>
      </c>
      <c r="J973" s="391" t="str">
        <f t="shared" si="77"/>
        <v/>
      </c>
      <c r="K973" s="391" t="str">
        <f t="shared" si="78"/>
        <v/>
      </c>
      <c r="O973" s="367" t="str">
        <v/>
      </c>
      <c r="S973" s="1" t="str">
        <v/>
      </c>
      <c r="AC973" s="367" t="str">
        <f t="shared" si="79"/>
        <v/>
      </c>
    </row>
    <row r="974" spans="1:29">
      <c r="A974" s="367" t="str">
        <v/>
      </c>
      <c r="H974" s="391" t="str">
        <f t="shared" si="75"/>
        <v/>
      </c>
      <c r="I974" s="391" t="str">
        <f t="shared" si="76"/>
        <v/>
      </c>
      <c r="J974" s="391" t="str">
        <f t="shared" si="77"/>
        <v/>
      </c>
      <c r="K974" s="391" t="str">
        <f t="shared" si="78"/>
        <v/>
      </c>
      <c r="O974" s="367" t="str">
        <v/>
      </c>
      <c r="S974" s="1" t="str">
        <v/>
      </c>
      <c r="AC974" s="367" t="str">
        <f t="shared" si="79"/>
        <v/>
      </c>
    </row>
    <row r="975" spans="1:29">
      <c r="A975" s="367" t="str">
        <v/>
      </c>
      <c r="H975" s="391" t="str">
        <f t="shared" si="75"/>
        <v/>
      </c>
      <c r="I975" s="391" t="str">
        <f t="shared" si="76"/>
        <v/>
      </c>
      <c r="J975" s="391" t="str">
        <f t="shared" si="77"/>
        <v/>
      </c>
      <c r="K975" s="391" t="str">
        <f t="shared" si="78"/>
        <v/>
      </c>
      <c r="O975" s="367" t="str">
        <v/>
      </c>
      <c r="S975" s="1" t="str">
        <v/>
      </c>
      <c r="AC975" s="367" t="str">
        <f t="shared" si="79"/>
        <v/>
      </c>
    </row>
    <row r="976" spans="1:29">
      <c r="A976" s="367" t="str">
        <v/>
      </c>
      <c r="H976" s="391" t="str">
        <f t="shared" si="75"/>
        <v/>
      </c>
      <c r="I976" s="391" t="str">
        <f t="shared" si="76"/>
        <v/>
      </c>
      <c r="J976" s="391" t="str">
        <f t="shared" si="77"/>
        <v/>
      </c>
      <c r="K976" s="391" t="str">
        <f t="shared" si="78"/>
        <v/>
      </c>
      <c r="O976" s="367" t="str">
        <v/>
      </c>
      <c r="S976" s="1" t="str">
        <v/>
      </c>
      <c r="AC976" s="367" t="str">
        <f t="shared" si="79"/>
        <v/>
      </c>
    </row>
    <row r="977" spans="1:29">
      <c r="A977" s="367" t="str">
        <v/>
      </c>
      <c r="H977" s="391" t="str">
        <f t="shared" si="75"/>
        <v/>
      </c>
      <c r="I977" s="391" t="str">
        <f t="shared" si="76"/>
        <v/>
      </c>
      <c r="J977" s="391" t="str">
        <f t="shared" si="77"/>
        <v/>
      </c>
      <c r="K977" s="391" t="str">
        <f t="shared" si="78"/>
        <v/>
      </c>
      <c r="O977" s="367" t="str">
        <v/>
      </c>
      <c r="S977" s="1" t="str">
        <v/>
      </c>
      <c r="AC977" s="367" t="str">
        <f t="shared" si="79"/>
        <v/>
      </c>
    </row>
    <row r="978" spans="1:29">
      <c r="A978" s="367" t="str">
        <v/>
      </c>
      <c r="H978" s="391" t="str">
        <f t="shared" si="75"/>
        <v/>
      </c>
      <c r="I978" s="391" t="str">
        <f t="shared" si="76"/>
        <v/>
      </c>
      <c r="J978" s="391" t="str">
        <f t="shared" si="77"/>
        <v/>
      </c>
      <c r="K978" s="391" t="str">
        <f t="shared" si="78"/>
        <v/>
      </c>
      <c r="O978" s="367" t="str">
        <v/>
      </c>
      <c r="S978" s="1" t="str">
        <v/>
      </c>
      <c r="AC978" s="367" t="str">
        <f t="shared" si="79"/>
        <v/>
      </c>
    </row>
    <row r="979" spans="1:29">
      <c r="A979" s="367" t="str">
        <v/>
      </c>
      <c r="H979" s="391" t="str">
        <f t="shared" si="75"/>
        <v/>
      </c>
      <c r="I979" s="391" t="str">
        <f t="shared" si="76"/>
        <v/>
      </c>
      <c r="J979" s="391" t="str">
        <f t="shared" si="77"/>
        <v/>
      </c>
      <c r="K979" s="391" t="str">
        <f t="shared" si="78"/>
        <v/>
      </c>
      <c r="O979" s="367" t="str">
        <v/>
      </c>
      <c r="S979" s="1" t="str">
        <v/>
      </c>
      <c r="AC979" s="367" t="str">
        <f t="shared" si="79"/>
        <v/>
      </c>
    </row>
    <row r="980" spans="1:29">
      <c r="A980" s="367" t="str">
        <v/>
      </c>
      <c r="H980" s="391" t="str">
        <f t="shared" si="75"/>
        <v/>
      </c>
      <c r="I980" s="391" t="str">
        <f t="shared" si="76"/>
        <v/>
      </c>
      <c r="J980" s="391" t="str">
        <f t="shared" si="77"/>
        <v/>
      </c>
      <c r="K980" s="391" t="str">
        <f t="shared" si="78"/>
        <v/>
      </c>
      <c r="O980" s="367" t="str">
        <v/>
      </c>
      <c r="S980" s="1" t="str">
        <v/>
      </c>
      <c r="AC980" s="367" t="str">
        <f t="shared" si="79"/>
        <v/>
      </c>
    </row>
    <row r="981" spans="1:29">
      <c r="A981" s="367" t="str">
        <v/>
      </c>
      <c r="H981" s="391" t="str">
        <f t="shared" si="75"/>
        <v/>
      </c>
      <c r="I981" s="391" t="str">
        <f t="shared" si="76"/>
        <v/>
      </c>
      <c r="J981" s="391" t="str">
        <f t="shared" si="77"/>
        <v/>
      </c>
      <c r="K981" s="391" t="str">
        <f t="shared" si="78"/>
        <v/>
      </c>
      <c r="O981" s="367" t="str">
        <v/>
      </c>
      <c r="S981" s="1" t="str">
        <v/>
      </c>
      <c r="AC981" s="367" t="str">
        <f t="shared" si="79"/>
        <v/>
      </c>
    </row>
    <row r="982" spans="1:29">
      <c r="A982" s="367" t="str">
        <v/>
      </c>
      <c r="H982" s="391" t="str">
        <f t="shared" si="75"/>
        <v/>
      </c>
      <c r="I982" s="391" t="str">
        <f t="shared" si="76"/>
        <v/>
      </c>
      <c r="J982" s="391" t="str">
        <f t="shared" si="77"/>
        <v/>
      </c>
      <c r="K982" s="391" t="str">
        <f t="shared" si="78"/>
        <v/>
      </c>
      <c r="O982" s="367" t="str">
        <v/>
      </c>
      <c r="S982" s="1" t="str">
        <v/>
      </c>
      <c r="AC982" s="367" t="str">
        <f t="shared" si="79"/>
        <v/>
      </c>
    </row>
    <row r="983" spans="1:29">
      <c r="A983" s="367" t="str">
        <v/>
      </c>
      <c r="H983" s="391" t="str">
        <f t="shared" ref="H983:H1000" si="80">IF($C983="","",ROUND((($B$2*$F983*($B$5/1000))/$B$6)*(1+IF($B$18="",0,$B$18)),2))</f>
        <v/>
      </c>
      <c r="I983" s="391" t="str">
        <f t="shared" ref="I983:I1000" si="81">IF($C983="","",ROUND((($B$3*$F983*($B$5/1000))/$B$6)*(1+IF($B$18="",0,$B$18)),2))</f>
        <v/>
      </c>
      <c r="J983" s="391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1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7" t="str">
        <v/>
      </c>
      <c r="S983" s="1" t="str">
        <v/>
      </c>
      <c r="AC983" s="367" t="str">
        <f t="shared" si="79"/>
        <v/>
      </c>
    </row>
    <row r="984" spans="1:29">
      <c r="A984" s="367" t="str">
        <v/>
      </c>
      <c r="H984" s="391" t="str">
        <f t="shared" si="80"/>
        <v/>
      </c>
      <c r="I984" s="391" t="str">
        <f t="shared" si="81"/>
        <v/>
      </c>
      <c r="J984" s="391" t="str">
        <f t="shared" si="82"/>
        <v/>
      </c>
      <c r="K984" s="391" t="str">
        <f t="shared" si="83"/>
        <v/>
      </c>
      <c r="O984" s="367" t="str">
        <v/>
      </c>
      <c r="S984" s="1" t="str">
        <v/>
      </c>
      <c r="AC984" s="367" t="str">
        <f t="shared" si="79"/>
        <v/>
      </c>
    </row>
    <row r="985" spans="1:29">
      <c r="A985" s="367" t="str">
        <v/>
      </c>
      <c r="H985" s="391" t="str">
        <f t="shared" si="80"/>
        <v/>
      </c>
      <c r="I985" s="391" t="str">
        <f t="shared" si="81"/>
        <v/>
      </c>
      <c r="J985" s="391" t="str">
        <f t="shared" si="82"/>
        <v/>
      </c>
      <c r="K985" s="391" t="str">
        <f t="shared" si="83"/>
        <v/>
      </c>
      <c r="O985" s="367" t="str">
        <v/>
      </c>
      <c r="S985" s="1" t="str">
        <v/>
      </c>
      <c r="AC985" s="367" t="str">
        <f t="shared" si="79"/>
        <v/>
      </c>
    </row>
    <row r="986" spans="1:29">
      <c r="A986" s="367" t="str">
        <v/>
      </c>
      <c r="H986" s="391" t="str">
        <f t="shared" si="80"/>
        <v/>
      </c>
      <c r="I986" s="391" t="str">
        <f t="shared" si="81"/>
        <v/>
      </c>
      <c r="J986" s="391" t="str">
        <f t="shared" si="82"/>
        <v/>
      </c>
      <c r="K986" s="391" t="str">
        <f t="shared" si="83"/>
        <v/>
      </c>
      <c r="O986" s="367" t="str">
        <v/>
      </c>
      <c r="S986" s="1" t="str">
        <v/>
      </c>
      <c r="AC986" s="367" t="str">
        <f t="shared" si="79"/>
        <v/>
      </c>
    </row>
    <row r="987" spans="1:29">
      <c r="A987" s="367" t="str">
        <v/>
      </c>
      <c r="H987" s="391" t="str">
        <f t="shared" si="80"/>
        <v/>
      </c>
      <c r="I987" s="391" t="str">
        <f t="shared" si="81"/>
        <v/>
      </c>
      <c r="J987" s="391" t="str">
        <f t="shared" si="82"/>
        <v/>
      </c>
      <c r="K987" s="391" t="str">
        <f t="shared" si="83"/>
        <v/>
      </c>
      <c r="O987" s="367" t="str">
        <v/>
      </c>
      <c r="S987" s="1" t="str">
        <v/>
      </c>
      <c r="AC987" s="367" t="str">
        <f t="shared" si="79"/>
        <v/>
      </c>
    </row>
    <row r="988" spans="1:29">
      <c r="A988" s="367" t="str">
        <v/>
      </c>
      <c r="H988" s="391" t="str">
        <f t="shared" si="80"/>
        <v/>
      </c>
      <c r="I988" s="391" t="str">
        <f t="shared" si="81"/>
        <v/>
      </c>
      <c r="J988" s="391" t="str">
        <f t="shared" si="82"/>
        <v/>
      </c>
      <c r="K988" s="391" t="str">
        <f t="shared" si="83"/>
        <v/>
      </c>
      <c r="O988" s="367" t="str">
        <v/>
      </c>
      <c r="S988" s="1" t="str">
        <v/>
      </c>
      <c r="AC988" s="367" t="str">
        <f t="shared" si="79"/>
        <v/>
      </c>
    </row>
    <row r="989" spans="1:29">
      <c r="A989" s="367" t="str">
        <v/>
      </c>
      <c r="H989" s="391" t="str">
        <f t="shared" si="80"/>
        <v/>
      </c>
      <c r="I989" s="391" t="str">
        <f t="shared" si="81"/>
        <v/>
      </c>
      <c r="J989" s="391" t="str">
        <f t="shared" si="82"/>
        <v/>
      </c>
      <c r="K989" s="391" t="str">
        <f t="shared" si="83"/>
        <v/>
      </c>
      <c r="O989" s="367" t="str">
        <v/>
      </c>
      <c r="S989" s="1" t="str">
        <v/>
      </c>
      <c r="AC989" s="367" t="str">
        <f t="shared" si="79"/>
        <v/>
      </c>
    </row>
    <row r="990" spans="1:29">
      <c r="A990" s="367" t="str">
        <v/>
      </c>
      <c r="H990" s="391" t="str">
        <f t="shared" si="80"/>
        <v/>
      </c>
      <c r="I990" s="391" t="str">
        <f t="shared" si="81"/>
        <v/>
      </c>
      <c r="J990" s="391" t="str">
        <f t="shared" si="82"/>
        <v/>
      </c>
      <c r="K990" s="391" t="str">
        <f t="shared" si="83"/>
        <v/>
      </c>
      <c r="O990" s="367" t="str">
        <v/>
      </c>
      <c r="S990" s="1" t="str">
        <v/>
      </c>
      <c r="AC990" s="367" t="str">
        <f t="shared" si="79"/>
        <v/>
      </c>
    </row>
    <row r="991" spans="1:29">
      <c r="A991" s="367" t="str">
        <v/>
      </c>
      <c r="H991" s="391" t="str">
        <f t="shared" si="80"/>
        <v/>
      </c>
      <c r="I991" s="391" t="str">
        <f t="shared" si="81"/>
        <v/>
      </c>
      <c r="J991" s="391" t="str">
        <f t="shared" si="82"/>
        <v/>
      </c>
      <c r="K991" s="391" t="str">
        <f t="shared" si="83"/>
        <v/>
      </c>
      <c r="O991" s="367" t="str">
        <v/>
      </c>
      <c r="S991" s="1" t="str">
        <v/>
      </c>
      <c r="AC991" s="367" t="str">
        <f t="shared" si="79"/>
        <v/>
      </c>
    </row>
    <row r="992" spans="1:29">
      <c r="A992" s="367" t="str">
        <v/>
      </c>
      <c r="H992" s="391" t="str">
        <f t="shared" si="80"/>
        <v/>
      </c>
      <c r="I992" s="391" t="str">
        <f t="shared" si="81"/>
        <v/>
      </c>
      <c r="J992" s="391" t="str">
        <f t="shared" si="82"/>
        <v/>
      </c>
      <c r="K992" s="391" t="str">
        <f t="shared" si="83"/>
        <v/>
      </c>
      <c r="O992" s="367" t="str">
        <v/>
      </c>
      <c r="S992" s="1" t="str">
        <v/>
      </c>
      <c r="AC992" s="367" t="str">
        <f t="shared" si="79"/>
        <v/>
      </c>
    </row>
    <row r="993" spans="1:29">
      <c r="A993" s="367" t="str">
        <v/>
      </c>
      <c r="H993" s="391" t="str">
        <f t="shared" si="80"/>
        <v/>
      </c>
      <c r="I993" s="391" t="str">
        <f t="shared" si="81"/>
        <v/>
      </c>
      <c r="J993" s="391" t="str">
        <f t="shared" si="82"/>
        <v/>
      </c>
      <c r="K993" s="391" t="str">
        <f t="shared" si="83"/>
        <v/>
      </c>
      <c r="O993" s="367" t="str">
        <v/>
      </c>
      <c r="S993" s="1" t="str">
        <v/>
      </c>
      <c r="AC993" s="367" t="str">
        <f t="shared" si="79"/>
        <v/>
      </c>
    </row>
    <row r="994" spans="1:29">
      <c r="A994" s="367" t="str">
        <v/>
      </c>
      <c r="H994" s="391" t="str">
        <f t="shared" si="80"/>
        <v/>
      </c>
      <c r="I994" s="391" t="str">
        <f t="shared" si="81"/>
        <v/>
      </c>
      <c r="J994" s="391" t="str">
        <f t="shared" si="82"/>
        <v/>
      </c>
      <c r="K994" s="391" t="str">
        <f t="shared" si="83"/>
        <v/>
      </c>
      <c r="O994" s="367" t="str">
        <v/>
      </c>
      <c r="S994" s="1" t="str">
        <v/>
      </c>
      <c r="AC994" s="367" t="str">
        <f t="shared" si="79"/>
        <v/>
      </c>
    </row>
    <row r="995" spans="1:29">
      <c r="A995" s="367" t="str">
        <v/>
      </c>
      <c r="H995" s="391" t="str">
        <f t="shared" si="80"/>
        <v/>
      </c>
      <c r="I995" s="391" t="str">
        <f t="shared" si="81"/>
        <v/>
      </c>
      <c r="J995" s="391" t="str">
        <f t="shared" si="82"/>
        <v/>
      </c>
      <c r="K995" s="391" t="str">
        <f t="shared" si="83"/>
        <v/>
      </c>
      <c r="O995" s="367" t="str">
        <v/>
      </c>
      <c r="S995" s="1" t="str">
        <v/>
      </c>
      <c r="AC995" s="367" t="str">
        <f t="shared" si="79"/>
        <v/>
      </c>
    </row>
    <row r="996" spans="1:29">
      <c r="A996" s="367" t="str">
        <v/>
      </c>
      <c r="H996" s="391" t="str">
        <f t="shared" si="80"/>
        <v/>
      </c>
      <c r="I996" s="391" t="str">
        <f t="shared" si="81"/>
        <v/>
      </c>
      <c r="J996" s="391" t="str">
        <f t="shared" si="82"/>
        <v/>
      </c>
      <c r="K996" s="391" t="str">
        <f t="shared" si="83"/>
        <v/>
      </c>
      <c r="O996" s="367" t="str">
        <v/>
      </c>
      <c r="S996" s="1" t="str">
        <v/>
      </c>
      <c r="AC996" s="367" t="str">
        <f t="shared" si="79"/>
        <v/>
      </c>
    </row>
    <row r="997" spans="1:29">
      <c r="A997" s="367" t="str">
        <v/>
      </c>
      <c r="H997" s="391" t="str">
        <f t="shared" si="80"/>
        <v/>
      </c>
      <c r="I997" s="391" t="str">
        <f t="shared" si="81"/>
        <v/>
      </c>
      <c r="J997" s="391" t="str">
        <f t="shared" si="82"/>
        <v/>
      </c>
      <c r="K997" s="391" t="str">
        <f t="shared" si="83"/>
        <v/>
      </c>
      <c r="O997" s="367" t="str">
        <v/>
      </c>
      <c r="S997" s="1" t="str">
        <v/>
      </c>
      <c r="AC997" s="367" t="str">
        <f t="shared" si="79"/>
        <v/>
      </c>
    </row>
    <row r="998" spans="1:29">
      <c r="A998" s="367" t="str">
        <v/>
      </c>
      <c r="H998" s="391" t="str">
        <f t="shared" si="80"/>
        <v/>
      </c>
      <c r="I998" s="391" t="str">
        <f t="shared" si="81"/>
        <v/>
      </c>
      <c r="J998" s="391" t="str">
        <f t="shared" si="82"/>
        <v/>
      </c>
      <c r="K998" s="391" t="str">
        <f t="shared" si="83"/>
        <v/>
      </c>
      <c r="O998" s="367" t="str">
        <v/>
      </c>
      <c r="S998" s="1" t="str">
        <v/>
      </c>
      <c r="AC998" s="367" t="str">
        <f t="shared" si="79"/>
        <v/>
      </c>
    </row>
    <row r="999" spans="1:29">
      <c r="A999" s="367" t="str">
        <v/>
      </c>
      <c r="H999" s="391" t="str">
        <f t="shared" si="80"/>
        <v/>
      </c>
      <c r="I999" s="391" t="str">
        <f t="shared" si="81"/>
        <v/>
      </c>
      <c r="J999" s="391" t="str">
        <f t="shared" si="82"/>
        <v/>
      </c>
      <c r="K999" s="391" t="str">
        <f t="shared" si="83"/>
        <v/>
      </c>
      <c r="O999" s="367" t="str">
        <v/>
      </c>
      <c r="S999" s="1" t="str">
        <v/>
      </c>
      <c r="AC999" s="367" t="str">
        <f t="shared" si="79"/>
        <v/>
      </c>
    </row>
    <row r="1000" spans="1:29">
      <c r="A1000" s="367" t="str">
        <v/>
      </c>
      <c r="H1000" s="391" t="str">
        <f t="shared" si="80"/>
        <v/>
      </c>
      <c r="I1000" s="391" t="str">
        <f t="shared" si="81"/>
        <v/>
      </c>
      <c r="J1000" s="391" t="str">
        <f t="shared" si="82"/>
        <v/>
      </c>
      <c r="K1000" s="391" t="str">
        <f t="shared" si="83"/>
        <v/>
      </c>
      <c r="O1000" s="367" t="str">
        <v/>
      </c>
      <c r="S1000" s="1" t="str">
        <v/>
      </c>
      <c r="AC1000" s="367" t="str">
        <f t="shared" si="79"/>
        <v/>
      </c>
    </row>
    <row r="1001" spans="1:29" s="388" customFormat="1">
      <c r="D1001" s="398"/>
      <c r="E1001" s="398"/>
      <c r="F1001" s="394"/>
      <c r="G1001" s="394"/>
      <c r="H1001" s="392"/>
      <c r="I1001" s="392"/>
      <c r="J1001" s="392"/>
      <c r="K1001" s="392"/>
      <c r="R1001" s="397"/>
      <c r="S1001" s="398"/>
      <c r="U1001" s="398"/>
      <c r="V1001" s="409"/>
      <c r="Z1001" s="398"/>
      <c r="AA1001" s="398"/>
    </row>
    <row r="1005" spans="1:29">
      <c r="H1005" s="391">
        <f t="shared" ref="H1005:H1029" si="84">IF($C27="","",ROUND(($B$2*$F27*($B$5/1000))/$B$6,2))</f>
        <v>1.38</v>
      </c>
      <c r="I1005" s="391">
        <f t="shared" ref="I1005:I1029" si="85">IF($C27="","",ROUND(($B$3*$F27*($B$5/1000))/$B$6,2))</f>
        <v>1.53</v>
      </c>
      <c r="J1005" s="391">
        <f t="shared" ref="J1005:J1029" si="86">IF(OR($C27="",$B$9="",$B$15=""),"",ROUND(((((IF($B$15="N/A",$B$2,$B$4))*$F27*($B$5/1000))+((($G27/1000)*($B$5/1000)*10.7639104)*(IF($B$9="Smooth",$B$10,IF($B$9="Sand",$B$11,0)))))*(1+$B$17))/$B$8,2))</f>
        <v>1.98</v>
      </c>
      <c r="K1005" s="391">
        <f t="shared" ref="K1005:K1029" si="87">IF(OR($C27="",$B$12="",$B$15=""),"",ROUND(((((IF($B$15="N/A",$B$2,$B$4))*$F27*($B$5/1000))+((($G27/1000)*($B$5/1000)*10.7639104)*(IF($B$12="Indoor",$B$13,IF($B$12="Outdoor",$B$14,0)))))*(1+$B$17))/$B$8,2))</f>
        <v>3.6</v>
      </c>
    </row>
    <row r="1006" spans="1:29">
      <c r="H1006" s="391">
        <f t="shared" si="84"/>
        <v>2.56</v>
      </c>
      <c r="I1006" s="391">
        <f t="shared" si="85"/>
        <v>2.83</v>
      </c>
      <c r="J1006" s="391">
        <f t="shared" si="86"/>
        <v>3.11</v>
      </c>
      <c r="K1006" s="391">
        <f t="shared" si="87"/>
        <v>4.75</v>
      </c>
    </row>
    <row r="1007" spans="1:29">
      <c r="H1007" s="391">
        <f t="shared" si="84"/>
        <v>1.98</v>
      </c>
      <c r="I1007" s="391">
        <f t="shared" si="85"/>
        <v>2.19</v>
      </c>
      <c r="J1007" s="391">
        <f t="shared" si="86"/>
        <v>2.62</v>
      </c>
      <c r="K1007" s="391">
        <f t="shared" si="87"/>
        <v>4.41</v>
      </c>
    </row>
    <row r="1008" spans="1:29">
      <c r="H1008" s="391">
        <f t="shared" si="84"/>
        <v>3.43</v>
      </c>
      <c r="I1008" s="391">
        <f t="shared" si="85"/>
        <v>3.8</v>
      </c>
      <c r="J1008" s="391">
        <f t="shared" si="86"/>
        <v>4.16</v>
      </c>
      <c r="K1008" s="391">
        <f t="shared" si="87"/>
        <v>6.35</v>
      </c>
    </row>
    <row r="1009" spans="8:11">
      <c r="H1009" s="391">
        <f t="shared" si="84"/>
        <v>2.31</v>
      </c>
      <c r="I1009" s="391">
        <f t="shared" si="85"/>
        <v>2.56</v>
      </c>
      <c r="J1009" s="391">
        <f t="shared" si="86"/>
        <v>3.23</v>
      </c>
      <c r="K1009" s="391">
        <f t="shared" si="87"/>
        <v>5.73</v>
      </c>
    </row>
    <row r="1010" spans="8:11">
      <c r="H1010" s="391">
        <f t="shared" si="84"/>
        <v>4.8899999999999997</v>
      </c>
      <c r="I1010" s="391">
        <f t="shared" si="85"/>
        <v>5.42</v>
      </c>
      <c r="J1010" s="391">
        <f t="shared" si="86"/>
        <v>5.7</v>
      </c>
      <c r="K1010" s="391">
        <f t="shared" si="87"/>
        <v>8.25</v>
      </c>
    </row>
    <row r="1011" spans="8:11">
      <c r="H1011" s="391">
        <f t="shared" si="84"/>
        <v>3.53</v>
      </c>
      <c r="I1011" s="391">
        <f t="shared" si="85"/>
        <v>3.92</v>
      </c>
      <c r="J1011" s="391">
        <f t="shared" si="86"/>
        <v>4.47</v>
      </c>
      <c r="K1011" s="391">
        <f t="shared" si="87"/>
        <v>7.15</v>
      </c>
    </row>
    <row r="1012" spans="8:11">
      <c r="H1012" s="391">
        <f t="shared" si="84"/>
        <v>5.48</v>
      </c>
      <c r="I1012" s="391">
        <f t="shared" si="85"/>
        <v>6.08</v>
      </c>
      <c r="J1012" s="391">
        <f t="shared" si="86"/>
        <v>6.39</v>
      </c>
      <c r="K1012" s="391">
        <f t="shared" si="87"/>
        <v>9.24</v>
      </c>
    </row>
    <row r="1013" spans="8:11">
      <c r="H1013" s="391">
        <f t="shared" si="84"/>
        <v>3.7</v>
      </c>
      <c r="I1013" s="391">
        <f t="shared" si="85"/>
        <v>4.0999999999999996</v>
      </c>
      <c r="J1013" s="391">
        <f t="shared" si="86"/>
        <v>4.7</v>
      </c>
      <c r="K1013" s="391">
        <f t="shared" si="87"/>
        <v>7.56</v>
      </c>
    </row>
    <row r="1014" spans="8:11">
      <c r="H1014" s="391">
        <f t="shared" si="84"/>
        <v>6.15</v>
      </c>
      <c r="I1014" s="391">
        <f t="shared" si="85"/>
        <v>6.82</v>
      </c>
      <c r="J1014" s="391">
        <f t="shared" si="86"/>
        <v>7.09</v>
      </c>
      <c r="K1014" s="391">
        <f t="shared" si="87"/>
        <v>10.1</v>
      </c>
    </row>
    <row r="1015" spans="8:11">
      <c r="H1015" s="391">
        <f t="shared" si="84"/>
        <v>3.2</v>
      </c>
      <c r="I1015" s="391">
        <f t="shared" si="85"/>
        <v>3.54</v>
      </c>
      <c r="J1015" s="391">
        <f t="shared" si="86"/>
        <v>4.33</v>
      </c>
      <c r="K1015" s="391">
        <f t="shared" si="87"/>
        <v>7.45</v>
      </c>
    </row>
    <row r="1016" spans="8:11">
      <c r="H1016" s="391">
        <f t="shared" si="84"/>
        <v>6.9</v>
      </c>
      <c r="I1016" s="391">
        <f t="shared" si="85"/>
        <v>7.65</v>
      </c>
      <c r="J1016" s="391">
        <f t="shared" si="86"/>
        <v>7.97</v>
      </c>
      <c r="K1016" s="391">
        <f t="shared" si="87"/>
        <v>11.39</v>
      </c>
    </row>
    <row r="1017" spans="8:11">
      <c r="H1017" s="391">
        <f t="shared" si="84"/>
        <v>7.84</v>
      </c>
      <c r="I1017" s="391">
        <f t="shared" si="85"/>
        <v>8.68</v>
      </c>
      <c r="J1017" s="391">
        <f t="shared" si="86"/>
        <v>8.91</v>
      </c>
      <c r="K1017" s="391">
        <f t="shared" si="87"/>
        <v>12.46</v>
      </c>
    </row>
    <row r="1018" spans="8:11">
      <c r="H1018" s="391">
        <f t="shared" si="84"/>
        <v>3.64</v>
      </c>
      <c r="I1018" s="391">
        <f t="shared" si="85"/>
        <v>4.03</v>
      </c>
      <c r="J1018" s="391">
        <f t="shared" si="86"/>
        <v>4.95</v>
      </c>
      <c r="K1018" s="391">
        <f t="shared" si="87"/>
        <v>8.5399999999999991</v>
      </c>
    </row>
    <row r="1019" spans="8:11">
      <c r="H1019" s="391">
        <f t="shared" si="84"/>
        <v>3.39</v>
      </c>
      <c r="I1019" s="391">
        <f t="shared" si="85"/>
        <v>3.76</v>
      </c>
      <c r="J1019" s="391">
        <f t="shared" si="86"/>
        <v>4.76</v>
      </c>
      <c r="K1019" s="391">
        <f t="shared" si="87"/>
        <v>8.43</v>
      </c>
    </row>
    <row r="1020" spans="8:11">
      <c r="H1020" s="391">
        <f t="shared" si="84"/>
        <v>9.51</v>
      </c>
      <c r="I1020" s="391">
        <f t="shared" si="85"/>
        <v>10.53</v>
      </c>
      <c r="J1020" s="391">
        <f t="shared" si="86"/>
        <v>10.55</v>
      </c>
      <c r="K1020" s="391">
        <f t="shared" si="87"/>
        <v>14.25</v>
      </c>
    </row>
    <row r="1021" spans="8:11">
      <c r="H1021" s="391">
        <f t="shared" si="84"/>
        <v>8.6300000000000008</v>
      </c>
      <c r="I1021" s="391">
        <f t="shared" si="85"/>
        <v>9.56</v>
      </c>
      <c r="J1021" s="391">
        <f t="shared" si="86"/>
        <v>9.83</v>
      </c>
      <c r="K1021" s="391">
        <f t="shared" si="87"/>
        <v>13.8</v>
      </c>
    </row>
    <row r="1022" spans="8:11">
      <c r="H1022" s="391">
        <f t="shared" si="84"/>
        <v>10.62</v>
      </c>
      <c r="I1022" s="391">
        <f t="shared" si="85"/>
        <v>11.77</v>
      </c>
      <c r="J1022" s="391">
        <f t="shared" si="86"/>
        <v>11.78</v>
      </c>
      <c r="K1022" s="391">
        <f t="shared" si="87"/>
        <v>15.88</v>
      </c>
    </row>
    <row r="1023" spans="8:11">
      <c r="H1023" s="391">
        <f t="shared" si="84"/>
        <v>4.4800000000000004</v>
      </c>
      <c r="I1023" s="391">
        <f t="shared" si="85"/>
        <v>4.96</v>
      </c>
      <c r="J1023" s="391">
        <f t="shared" si="86"/>
        <v>6</v>
      </c>
      <c r="K1023" s="391">
        <f t="shared" si="87"/>
        <v>10.199999999999999</v>
      </c>
    </row>
    <row r="1024" spans="8:11">
      <c r="H1024" s="391">
        <f t="shared" si="84"/>
        <v>5.03</v>
      </c>
      <c r="I1024" s="391">
        <f t="shared" si="85"/>
        <v>5.57</v>
      </c>
      <c r="J1024" s="391">
        <f t="shared" si="86"/>
        <v>6.74</v>
      </c>
      <c r="K1024" s="391">
        <f t="shared" si="87"/>
        <v>11.46</v>
      </c>
    </row>
    <row r="1025" spans="8:11">
      <c r="H1025" s="391">
        <f t="shared" si="84"/>
        <v>5.7</v>
      </c>
      <c r="I1025" s="391">
        <f t="shared" si="85"/>
        <v>6.32</v>
      </c>
      <c r="J1025" s="391">
        <f t="shared" si="86"/>
        <v>7.49</v>
      </c>
      <c r="K1025" s="391">
        <f t="shared" si="87"/>
        <v>12.48</v>
      </c>
    </row>
    <row r="1026" spans="8:11">
      <c r="H1026" s="391">
        <f t="shared" si="84"/>
        <v>6.29</v>
      </c>
      <c r="I1026" s="391">
        <f t="shared" si="85"/>
        <v>6.97</v>
      </c>
      <c r="J1026" s="391">
        <f t="shared" si="86"/>
        <v>8.27</v>
      </c>
      <c r="K1026" s="391">
        <f t="shared" si="87"/>
        <v>13.78</v>
      </c>
    </row>
    <row r="1027" spans="8:11">
      <c r="H1027" s="391">
        <f t="shared" si="84"/>
        <v>18.86</v>
      </c>
      <c r="I1027" s="391">
        <f t="shared" si="85"/>
        <v>20.9</v>
      </c>
      <c r="J1027" s="391">
        <f t="shared" si="86"/>
        <v>20.29</v>
      </c>
      <c r="K1027" s="391">
        <f t="shared" si="87"/>
        <v>26.07</v>
      </c>
    </row>
    <row r="1028" spans="8:11">
      <c r="H1028" s="391">
        <f t="shared" si="84"/>
        <v>1.06</v>
      </c>
      <c r="I1028" s="391">
        <f t="shared" si="85"/>
        <v>1.17</v>
      </c>
      <c r="J1028" s="391">
        <f t="shared" si="86"/>
        <v>1.55</v>
      </c>
      <c r="K1028" s="391">
        <f t="shared" si="87"/>
        <v>2.87</v>
      </c>
    </row>
    <row r="1029" spans="8:11">
      <c r="H1029" s="391">
        <f t="shared" si="84"/>
        <v>2.4900000000000002</v>
      </c>
      <c r="I1029" s="391">
        <f t="shared" si="85"/>
        <v>2.75</v>
      </c>
      <c r="J1029" s="391">
        <f t="shared" si="86"/>
        <v>3.48</v>
      </c>
      <c r="K1029" s="391">
        <f t="shared" si="87"/>
        <v>6.17</v>
      </c>
    </row>
    <row r="1030" spans="8:11">
      <c r="H1030" s="391">
        <f t="shared" ref="H1030:H1036" si="88">IF($C52="","",ROUND(($B$2*$F52*($B$5/1000))/$B$6,2))</f>
        <v>3.19</v>
      </c>
      <c r="I1030" s="391">
        <f t="shared" ref="I1030:I1036" si="89">IF($C52="","",ROUND(($B$3*$F52*($B$5/1000))/$B$6,2))</f>
        <v>3.53</v>
      </c>
      <c r="J1030" s="391">
        <f t="shared" ref="J1030:J1036" si="90">IF(OR($C52="",$B$9="",$B$15=""),"",ROUND(((((IF($B$15="N/A",$B$2,$B$4))*$F52*($B$5/1000))+((($G52/1000)*($B$5/1000)*10.7639104)*(IF($B$9="Smooth",$B$10,IF($B$9="Sand",$B$11,0)))))*(1+$B$17))/$B$8,2))</f>
        <v>3.96</v>
      </c>
      <c r="K1030" s="391">
        <f t="shared" ref="K1030:K1036" si="91">IF(OR($C52="",$B$12="",$B$15=""),"",ROUND(((((IF($B$15="N/A",$B$2,$B$4))*$F52*($B$5/1000))+((($G52/1000)*($B$5/1000)*10.7639104)*(IF($B$12="Indoor",$B$13,IF($B$12="Outdoor",$B$14,0)))))*(1+$B$17))/$B$8,2))</f>
        <v>6.19</v>
      </c>
    </row>
    <row r="1031" spans="8:11">
      <c r="H1031" s="391">
        <f t="shared" si="88"/>
        <v>3.23</v>
      </c>
      <c r="I1031" s="391">
        <f t="shared" si="89"/>
        <v>3.58</v>
      </c>
      <c r="J1031" s="391">
        <f t="shared" si="90"/>
        <v>4.54</v>
      </c>
      <c r="K1031" s="391">
        <f t="shared" si="91"/>
        <v>8.07</v>
      </c>
    </row>
    <row r="1032" spans="8:11">
      <c r="H1032" s="391">
        <f t="shared" si="88"/>
        <v>2.0099999999999998</v>
      </c>
      <c r="I1032" s="391">
        <f t="shared" si="89"/>
        <v>2.23</v>
      </c>
      <c r="J1032" s="391">
        <f t="shared" si="90"/>
        <v>2.83</v>
      </c>
      <c r="K1032" s="391">
        <f t="shared" si="91"/>
        <v>5.0199999999999996</v>
      </c>
    </row>
    <row r="1033" spans="8:11">
      <c r="H1033" s="391">
        <f t="shared" si="88"/>
        <v>3.13</v>
      </c>
      <c r="I1033" s="391">
        <f t="shared" si="89"/>
        <v>3.47</v>
      </c>
      <c r="J1033" s="391">
        <f t="shared" si="90"/>
        <v>4</v>
      </c>
      <c r="K1033" s="391">
        <f t="shared" si="91"/>
        <v>6.47</v>
      </c>
    </row>
    <row r="1034" spans="8:11">
      <c r="H1034" s="391">
        <f t="shared" si="88"/>
        <v>2.68</v>
      </c>
      <c r="I1034" s="391">
        <f t="shared" si="89"/>
        <v>2.97</v>
      </c>
      <c r="J1034" s="391">
        <f t="shared" si="90"/>
        <v>3.78</v>
      </c>
      <c r="K1034" s="391">
        <f t="shared" si="91"/>
        <v>6.75</v>
      </c>
    </row>
    <row r="1035" spans="8:11">
      <c r="H1035" s="391">
        <f t="shared" si="88"/>
        <v>3.34</v>
      </c>
      <c r="I1035" s="391">
        <f t="shared" si="89"/>
        <v>3.71</v>
      </c>
      <c r="J1035" s="391">
        <f t="shared" si="90"/>
        <v>4.67</v>
      </c>
      <c r="K1035" s="391">
        <f t="shared" si="91"/>
        <v>8.25</v>
      </c>
    </row>
    <row r="1036" spans="8:11">
      <c r="H1036" s="391">
        <f t="shared" si="88"/>
        <v>2.9</v>
      </c>
      <c r="I1036" s="391">
        <f t="shared" si="89"/>
        <v>3.21</v>
      </c>
      <c r="J1036" s="391">
        <f t="shared" si="90"/>
        <v>4.04</v>
      </c>
      <c r="K1036" s="391">
        <f t="shared" si="91"/>
        <v>7.14</v>
      </c>
    </row>
    <row r="1037" spans="8:11">
      <c r="H1037" s="391">
        <f t="shared" ref="H1037:H1064" si="92">IF($C59="","",ROUND(($B$2*$F59*($B$5/1000))/$B$6,2))</f>
        <v>2.13</v>
      </c>
      <c r="I1037" s="391">
        <f t="shared" ref="I1037:I1064" si="93">IF($C59="","",ROUND(($B$3*$F59*($B$5/1000))/$B$6,2))</f>
        <v>2.36</v>
      </c>
      <c r="J1037" s="391">
        <f t="shared" ref="J1037:J1064" si="94">IF(OR($C59="",$B$9="",$B$15=""),"",ROUND(((((IF($B$15="N/A",$B$2,$B$4))*$F59*($B$5/1000))+((($G59/1000)*($B$5/1000)*10.7639104)*(IF($B$9="Smooth",$B$10,IF($B$9="Sand",$B$11,0)))))*(1+$B$17))/$B$8,2))</f>
        <v>2.99</v>
      </c>
      <c r="K1037" s="391">
        <f t="shared" ref="K1037:K1064" si="95">IF(OR($C59="",$B$12="",$B$15=""),"",ROUND(((((IF($B$15="N/A",$B$2,$B$4))*$F59*($B$5/1000))+((($G59/1000)*($B$5/1000)*10.7639104)*(IF($B$12="Indoor",$B$13,IF($B$12="Outdoor",$B$14,0)))))*(1+$B$17))/$B$8,2))</f>
        <v>5.29</v>
      </c>
    </row>
    <row r="1038" spans="8:11">
      <c r="H1038" s="391">
        <f t="shared" si="92"/>
        <v>1.58</v>
      </c>
      <c r="I1038" s="391">
        <f t="shared" si="93"/>
        <v>1.76</v>
      </c>
      <c r="J1038" s="391">
        <f t="shared" si="94"/>
        <v>2.21</v>
      </c>
      <c r="K1038" s="391">
        <f t="shared" si="95"/>
        <v>3.92</v>
      </c>
    </row>
    <row r="1039" spans="8:11">
      <c r="H1039" s="391">
        <f t="shared" si="92"/>
        <v>1.1299999999999999</v>
      </c>
      <c r="I1039" s="391">
        <f t="shared" si="93"/>
        <v>1.25</v>
      </c>
      <c r="J1039" s="391">
        <f t="shared" si="94"/>
        <v>1.59</v>
      </c>
      <c r="K1039" s="391">
        <f t="shared" si="95"/>
        <v>2.83</v>
      </c>
    </row>
    <row r="1040" spans="8:11">
      <c r="H1040" s="391">
        <f t="shared" si="92"/>
        <v>1.9</v>
      </c>
      <c r="I1040" s="391">
        <f t="shared" si="93"/>
        <v>2.11</v>
      </c>
      <c r="J1040" s="391">
        <f t="shared" si="94"/>
        <v>2.67</v>
      </c>
      <c r="K1040" s="391">
        <f t="shared" si="95"/>
        <v>4.76</v>
      </c>
    </row>
    <row r="1041" spans="8:11">
      <c r="H1041" s="391">
        <f t="shared" si="92"/>
        <v>1.56</v>
      </c>
      <c r="I1041" s="391">
        <f t="shared" si="93"/>
        <v>1.72</v>
      </c>
      <c r="J1041" s="391">
        <f t="shared" si="94"/>
        <v>2.21</v>
      </c>
      <c r="K1041" s="391">
        <f t="shared" si="95"/>
        <v>3.96</v>
      </c>
    </row>
    <row r="1042" spans="8:11">
      <c r="H1042" s="391">
        <f>IF($C64="","",ROUND(($B$2*$F64*($B$5/1000))/$B$6,2))</f>
        <v>3.95</v>
      </c>
      <c r="I1042" s="391">
        <f>IF($C64="","",ROUND(($B$3*$F64*($B$5/1000))/$B$6,2))</f>
        <v>4.38</v>
      </c>
      <c r="J1042" s="391">
        <f>IF(OR($C64="",$B$9="",$B$15=""),"",ROUND(((((IF($B$15="N/A",$B$2,$B$4))*$F64*($B$5/1000))+((($G64/1000)*($B$5/1000)*10.7639104)*(IF($B$9="Smooth",$B$10,IF($B$9="Sand",$B$11,0)))))*(1+$B$17))/$B$8,2))</f>
        <v>5.33</v>
      </c>
      <c r="K1042" s="391">
        <f>IF(OR($C64="",$B$12="",$B$15=""),"",ROUND(((((IF($B$15="N/A",$B$2,$B$4))*$F64*($B$5/1000))+((($G64/1000)*($B$5/1000)*10.7639104)*(IF($B$12="Indoor",$B$13,IF($B$12="Outdoor",$B$14,0)))))*(1+$B$17))/$B$8,2))</f>
        <v>9.1199999999999992</v>
      </c>
    </row>
    <row r="1043" spans="8:11">
      <c r="H1043" s="391">
        <f>IF($C65="","",ROUND(($B$2*$F65*($B$5/1000))/$B$6,2))</f>
        <v>4.04</v>
      </c>
      <c r="I1043" s="391">
        <f>IF($C65="","",ROUND(($B$3*$F65*($B$5/1000))/$B$6,2))</f>
        <v>4.4800000000000004</v>
      </c>
      <c r="J1043" s="391">
        <f>IF(OR($C65="",$B$9="",$B$15=""),"",ROUND(((((IF($B$15="N/A",$B$2,$B$4))*$F65*($B$5/1000))+((($G65/1000)*($B$5/1000)*10.7639104)*(IF($B$9="Smooth",$B$10,IF($B$9="Sand",$B$11,0)))))*(1+$B$17))/$B$8,2))</f>
        <v>4.92</v>
      </c>
      <c r="K1043" s="391">
        <f>IF(OR($C65="",$B$12="",$B$15=""),"",ROUND(((((IF($B$15="N/A",$B$2,$B$4))*$F65*($B$5/1000))+((($G65/1000)*($B$5/1000)*10.7639104)*(IF($B$12="Indoor",$B$13,IF($B$12="Outdoor",$B$14,0)))))*(1+$B$17))/$B$8,2))</f>
        <v>7.53</v>
      </c>
    </row>
    <row r="1044" spans="8:11">
      <c r="H1044" s="391">
        <f>IF($C66="","",ROUND(($B$2*$F66*($B$5/1000))/$B$6,2))</f>
        <v>4.7699999999999996</v>
      </c>
      <c r="I1044" s="391">
        <f>IF($C66="","",ROUND(($B$3*$F66*($B$5/1000))/$B$6,2))</f>
        <v>5.29</v>
      </c>
      <c r="J1044" s="391">
        <f>IF(OR($C66="",$B$9="",$B$15=""),"",ROUND(((((IF($B$15="N/A",$B$2,$B$4))*$F66*($B$5/1000))+((($G66/1000)*($B$5/1000)*10.7639104)*(IF($B$9="Smooth",$B$10,IF($B$9="Sand",$B$11,0)))))*(1+$B$17))/$B$8,2))</f>
        <v>6.54</v>
      </c>
      <c r="K1044" s="391">
        <f>IF(OR($C66="",$B$12="",$B$15=""),"",ROUND(((((IF($B$15="N/A",$B$2,$B$4))*$F66*($B$5/1000))+((($G66/1000)*($B$5/1000)*10.7639104)*(IF($B$12="Indoor",$B$13,IF($B$12="Outdoor",$B$14,0)))))*(1+$B$17))/$B$8,2))</f>
        <v>11.36</v>
      </c>
    </row>
    <row r="1045" spans="8:11">
      <c r="H1045" s="391">
        <f t="shared" si="92"/>
        <v>2.5499999999999998</v>
      </c>
      <c r="I1045" s="391">
        <f t="shared" si="93"/>
        <v>2.82</v>
      </c>
      <c r="J1045" s="391">
        <f t="shared" si="94"/>
        <v>3.48</v>
      </c>
      <c r="K1045" s="391">
        <f t="shared" si="95"/>
        <v>6.01</v>
      </c>
    </row>
    <row r="1046" spans="8:11">
      <c r="H1046" s="391">
        <f t="shared" si="92"/>
        <v>4.26</v>
      </c>
      <c r="I1046" s="391">
        <f t="shared" si="93"/>
        <v>4.72</v>
      </c>
      <c r="J1046" s="391">
        <f t="shared" si="94"/>
        <v>5.34</v>
      </c>
      <c r="K1046" s="391">
        <f t="shared" si="95"/>
        <v>8.4700000000000006</v>
      </c>
    </row>
    <row r="1047" spans="8:11">
      <c r="H1047" s="391">
        <f t="shared" si="92"/>
        <v>3.46</v>
      </c>
      <c r="I1047" s="391">
        <f t="shared" si="93"/>
        <v>3.84</v>
      </c>
      <c r="J1047" s="391">
        <f t="shared" si="94"/>
        <v>4.75</v>
      </c>
      <c r="K1047" s="391">
        <f t="shared" si="95"/>
        <v>8.25</v>
      </c>
    </row>
    <row r="1048" spans="8:11">
      <c r="H1048" s="391">
        <f t="shared" si="92"/>
        <v>4.57</v>
      </c>
      <c r="I1048" s="391">
        <f t="shared" si="93"/>
        <v>5.0599999999999996</v>
      </c>
      <c r="J1048" s="391">
        <f t="shared" si="94"/>
        <v>6.2</v>
      </c>
      <c r="K1048" s="391">
        <f t="shared" si="95"/>
        <v>10.67</v>
      </c>
    </row>
    <row r="1049" spans="8:11">
      <c r="H1049" s="391">
        <f t="shared" si="92"/>
        <v>3.83</v>
      </c>
      <c r="I1049" s="391">
        <f t="shared" si="93"/>
        <v>4.24</v>
      </c>
      <c r="J1049" s="391">
        <f t="shared" si="94"/>
        <v>5.2</v>
      </c>
      <c r="K1049" s="391">
        <f t="shared" si="95"/>
        <v>8.94</v>
      </c>
    </row>
    <row r="1050" spans="8:11">
      <c r="H1050" s="391">
        <f t="shared" si="92"/>
        <v>2.57</v>
      </c>
      <c r="I1050" s="391">
        <f t="shared" si="93"/>
        <v>2.85</v>
      </c>
      <c r="J1050" s="391">
        <f t="shared" si="94"/>
        <v>3.63</v>
      </c>
      <c r="K1050" s="391">
        <f t="shared" si="95"/>
        <v>6.47</v>
      </c>
    </row>
    <row r="1051" spans="8:11">
      <c r="H1051" s="391">
        <f t="shared" si="92"/>
        <v>1.83</v>
      </c>
      <c r="I1051" s="391">
        <f t="shared" si="93"/>
        <v>2.0299999999999998</v>
      </c>
      <c r="J1051" s="391">
        <f t="shared" si="94"/>
        <v>2.5499999999999998</v>
      </c>
      <c r="K1051" s="391">
        <f t="shared" si="95"/>
        <v>4.51</v>
      </c>
    </row>
    <row r="1052" spans="8:11">
      <c r="H1052" s="391">
        <f t="shared" si="92"/>
        <v>1.78</v>
      </c>
      <c r="I1052" s="391">
        <f t="shared" si="93"/>
        <v>1.97</v>
      </c>
      <c r="J1052" s="391">
        <f t="shared" si="94"/>
        <v>2.52</v>
      </c>
      <c r="K1052" s="391">
        <f t="shared" si="95"/>
        <v>4.51</v>
      </c>
    </row>
    <row r="1053" spans="8:11">
      <c r="H1053" s="391">
        <f t="shared" si="92"/>
        <v>2.08</v>
      </c>
      <c r="I1053" s="391">
        <f t="shared" si="93"/>
        <v>2.31</v>
      </c>
      <c r="J1053" s="391">
        <f t="shared" si="94"/>
        <v>2.94</v>
      </c>
      <c r="K1053" s="391">
        <f t="shared" si="95"/>
        <v>5.24</v>
      </c>
    </row>
    <row r="1054" spans="8:11">
      <c r="H1054" s="391">
        <f t="shared" si="92"/>
        <v>5.13</v>
      </c>
      <c r="I1054" s="391">
        <f t="shared" si="93"/>
        <v>5.68</v>
      </c>
      <c r="J1054" s="391">
        <f t="shared" si="94"/>
        <v>6.65</v>
      </c>
      <c r="K1054" s="391">
        <f t="shared" si="95"/>
        <v>10.94</v>
      </c>
    </row>
    <row r="1055" spans="8:11">
      <c r="H1055" s="391">
        <f t="shared" si="92"/>
        <v>1.73</v>
      </c>
      <c r="I1055" s="391">
        <f t="shared" si="93"/>
        <v>1.91</v>
      </c>
      <c r="J1055" s="391">
        <f t="shared" si="94"/>
        <v>2.2599999999999998</v>
      </c>
      <c r="K1055" s="391">
        <f t="shared" si="95"/>
        <v>3.75</v>
      </c>
    </row>
    <row r="1056" spans="8:11">
      <c r="H1056" s="391">
        <f t="shared" si="92"/>
        <v>2.15</v>
      </c>
      <c r="I1056" s="391">
        <f t="shared" si="93"/>
        <v>2.38</v>
      </c>
      <c r="J1056" s="391">
        <f t="shared" si="94"/>
        <v>3.16</v>
      </c>
      <c r="K1056" s="391">
        <f t="shared" si="95"/>
        <v>5.84</v>
      </c>
    </row>
    <row r="1057" spans="8:11">
      <c r="H1057" s="391">
        <f t="shared" si="92"/>
        <v>1.61</v>
      </c>
      <c r="I1057" s="391">
        <f t="shared" si="93"/>
        <v>1.78</v>
      </c>
      <c r="J1057" s="391">
        <f t="shared" si="94"/>
        <v>2.36</v>
      </c>
      <c r="K1057" s="391">
        <f t="shared" si="95"/>
        <v>4.3499999999999996</v>
      </c>
    </row>
    <row r="1058" spans="8:11">
      <c r="H1058" s="391">
        <f t="shared" si="92"/>
        <v>2.04</v>
      </c>
      <c r="I1058" s="391">
        <f t="shared" si="93"/>
        <v>2.2599999999999998</v>
      </c>
      <c r="J1058" s="391">
        <f t="shared" si="94"/>
        <v>2.75</v>
      </c>
      <c r="K1058" s="391">
        <f t="shared" si="95"/>
        <v>4.68</v>
      </c>
    </row>
    <row r="1059" spans="8:11">
      <c r="H1059" s="391">
        <f t="shared" si="92"/>
        <v>2.04</v>
      </c>
      <c r="I1059" s="391">
        <f t="shared" si="93"/>
        <v>2.2599999999999998</v>
      </c>
      <c r="J1059" s="391">
        <f t="shared" si="94"/>
        <v>3.02</v>
      </c>
      <c r="K1059" s="391">
        <f t="shared" si="95"/>
        <v>5.61</v>
      </c>
    </row>
    <row r="1060" spans="8:11">
      <c r="H1060" s="391">
        <f t="shared" si="92"/>
        <v>2.73</v>
      </c>
      <c r="I1060" s="391">
        <f t="shared" si="93"/>
        <v>3.03</v>
      </c>
      <c r="J1060" s="391">
        <f t="shared" si="94"/>
        <v>4</v>
      </c>
      <c r="K1060" s="391">
        <f t="shared" si="95"/>
        <v>7.38</v>
      </c>
    </row>
    <row r="1061" spans="8:11">
      <c r="H1061" s="391">
        <f t="shared" si="92"/>
        <v>2.38</v>
      </c>
      <c r="I1061" s="391">
        <f t="shared" si="93"/>
        <v>2.64</v>
      </c>
      <c r="J1061" s="391">
        <f t="shared" si="94"/>
        <v>3.39</v>
      </c>
      <c r="K1061" s="391">
        <f t="shared" si="95"/>
        <v>6.1</v>
      </c>
    </row>
    <row r="1062" spans="8:11">
      <c r="H1062" s="391">
        <f t="shared" si="92"/>
        <v>3.26</v>
      </c>
      <c r="I1062" s="391">
        <f t="shared" si="93"/>
        <v>3.61</v>
      </c>
      <c r="J1062" s="391">
        <f t="shared" si="94"/>
        <v>4.54</v>
      </c>
      <c r="K1062" s="391">
        <f t="shared" si="95"/>
        <v>8.02</v>
      </c>
    </row>
    <row r="1063" spans="8:11">
      <c r="H1063" s="391">
        <f t="shared" si="92"/>
        <v>1.77</v>
      </c>
      <c r="I1063" s="391">
        <f t="shared" si="93"/>
        <v>1.97</v>
      </c>
      <c r="J1063" s="391">
        <f t="shared" si="94"/>
        <v>2.58</v>
      </c>
      <c r="K1063" s="391">
        <f t="shared" si="95"/>
        <v>4.72</v>
      </c>
    </row>
    <row r="1064" spans="8:11">
      <c r="H1064" s="391">
        <f t="shared" si="92"/>
        <v>1.39</v>
      </c>
      <c r="I1064" s="391">
        <f t="shared" si="93"/>
        <v>1.54</v>
      </c>
      <c r="J1064" s="391">
        <f t="shared" si="94"/>
        <v>1.94</v>
      </c>
      <c r="K1064" s="391">
        <f t="shared" si="95"/>
        <v>3.44</v>
      </c>
    </row>
    <row r="1065" spans="8:11">
      <c r="H1065" s="391">
        <f t="shared" ref="H1065:H1128" si="96">IF($C87="","",ROUND(($B$2*$F87*($B$5/1000))/$B$6,2))</f>
        <v>1.04</v>
      </c>
      <c r="I1065" s="391">
        <f t="shared" ref="I1065:I1128" si="97">IF($C87="","",ROUND(($B$3*$F87*($B$5/1000))/$B$6,2))</f>
        <v>1.1499999999999999</v>
      </c>
      <c r="J1065" s="391">
        <f t="shared" ref="J1065:J1128" si="98">IF(OR($C87="",$B$9="",$B$15=""),"",ROUND(((((IF($B$15="N/A",$B$2,$B$4))*$F87*($B$5/1000))+((($G87/1000)*($B$5/1000)*10.7639104)*(IF($B$9="Smooth",$B$10,IF($B$9="Sand",$B$11,0)))))*(1+$B$17))/$B$8,2))</f>
        <v>1.5</v>
      </c>
      <c r="K1065" s="391">
        <f t="shared" ref="K1065:K1128" si="99">IF(OR($C87="",$B$12="",$B$15=""),"",ROUND(((((IF($B$15="N/A",$B$2,$B$4))*$F87*($B$5/1000))+((($G87/1000)*($B$5/1000)*10.7639104)*(IF($B$12="Indoor",$B$13,IF($B$12="Outdoor",$B$14,0)))))*(1+$B$17))/$B$8,2))</f>
        <v>2.74</v>
      </c>
    </row>
    <row r="1066" spans="8:11">
      <c r="H1066" s="391">
        <f t="shared" si="96"/>
        <v>1.51</v>
      </c>
      <c r="I1066" s="391">
        <f t="shared" si="97"/>
        <v>1.67</v>
      </c>
      <c r="J1066" s="391">
        <f t="shared" si="98"/>
        <v>2.21</v>
      </c>
      <c r="K1066" s="391">
        <f t="shared" si="99"/>
        <v>4.08</v>
      </c>
    </row>
    <row r="1067" spans="8:11">
      <c r="H1067" s="391">
        <f t="shared" si="96"/>
        <v>7.27</v>
      </c>
      <c r="I1067" s="391">
        <f t="shared" si="97"/>
        <v>8.0500000000000007</v>
      </c>
      <c r="J1067" s="391">
        <f t="shared" si="98"/>
        <v>8.5399999999999991</v>
      </c>
      <c r="K1067" s="391">
        <f t="shared" si="99"/>
        <v>12.49</v>
      </c>
    </row>
    <row r="1068" spans="8:11">
      <c r="H1068" s="391">
        <f t="shared" si="96"/>
        <v>1.1399999999999999</v>
      </c>
      <c r="I1068" s="391">
        <f t="shared" si="97"/>
        <v>1.26</v>
      </c>
      <c r="J1068" s="391">
        <f t="shared" si="98"/>
        <v>1.64</v>
      </c>
      <c r="K1068" s="391">
        <f t="shared" si="99"/>
        <v>2.97</v>
      </c>
    </row>
    <row r="1069" spans="8:11">
      <c r="H1069" s="391">
        <f t="shared" si="96"/>
        <v>5.79</v>
      </c>
      <c r="I1069" s="391">
        <f t="shared" si="97"/>
        <v>6.41</v>
      </c>
      <c r="J1069" s="391">
        <f t="shared" si="98"/>
        <v>6.57</v>
      </c>
      <c r="K1069" s="391">
        <f t="shared" si="99"/>
        <v>9.16</v>
      </c>
    </row>
    <row r="1070" spans="8:11">
      <c r="H1070" s="391">
        <f t="shared" si="96"/>
        <v>13.15</v>
      </c>
      <c r="I1070" s="391">
        <f t="shared" si="97"/>
        <v>14.57</v>
      </c>
      <c r="J1070" s="391">
        <f t="shared" si="98"/>
        <v>14.56</v>
      </c>
      <c r="K1070" s="391">
        <f t="shared" si="99"/>
        <v>19.579999999999998</v>
      </c>
    </row>
    <row r="1071" spans="8:11">
      <c r="H1071" s="391">
        <f t="shared" si="96"/>
        <v>7.11</v>
      </c>
      <c r="I1071" s="391">
        <f t="shared" si="97"/>
        <v>7.88</v>
      </c>
      <c r="J1071" s="391">
        <f t="shared" si="98"/>
        <v>7.73</v>
      </c>
      <c r="K1071" s="391">
        <f t="shared" si="99"/>
        <v>10.1</v>
      </c>
    </row>
    <row r="1072" spans="8:11">
      <c r="H1072" s="391">
        <f t="shared" si="96"/>
        <v>3.15</v>
      </c>
      <c r="I1072" s="391">
        <f t="shared" si="97"/>
        <v>3.49</v>
      </c>
      <c r="J1072" s="391">
        <f t="shared" si="98"/>
        <v>3.99</v>
      </c>
      <c r="K1072" s="391">
        <f t="shared" si="99"/>
        <v>6.38</v>
      </c>
    </row>
    <row r="1073" spans="8:11">
      <c r="H1073" s="391">
        <f t="shared" si="96"/>
        <v>5.37</v>
      </c>
      <c r="I1073" s="391">
        <f t="shared" si="97"/>
        <v>5.95</v>
      </c>
      <c r="J1073" s="391">
        <f t="shared" si="98"/>
        <v>6.22</v>
      </c>
      <c r="K1073" s="391">
        <f t="shared" si="99"/>
        <v>8.93</v>
      </c>
    </row>
    <row r="1074" spans="8:11">
      <c r="H1074" s="391">
        <f t="shared" si="96"/>
        <v>6.72</v>
      </c>
      <c r="I1074" s="391">
        <f t="shared" si="97"/>
        <v>7.45</v>
      </c>
      <c r="J1074" s="391">
        <f t="shared" si="98"/>
        <v>7.65</v>
      </c>
      <c r="K1074" s="391">
        <f t="shared" si="99"/>
        <v>10.69</v>
      </c>
    </row>
    <row r="1075" spans="8:11">
      <c r="H1075" s="391">
        <f t="shared" si="96"/>
        <v>0.88</v>
      </c>
      <c r="I1075" s="391">
        <f t="shared" si="97"/>
        <v>0.98</v>
      </c>
      <c r="J1075" s="391">
        <f t="shared" si="98"/>
        <v>1.25</v>
      </c>
      <c r="K1075" s="391">
        <f t="shared" si="99"/>
        <v>2.25</v>
      </c>
    </row>
    <row r="1076" spans="8:11">
      <c r="H1076" s="391">
        <f t="shared" si="96"/>
        <v>8.8000000000000007</v>
      </c>
      <c r="I1076" s="391">
        <f t="shared" si="97"/>
        <v>9.75</v>
      </c>
      <c r="J1076" s="391">
        <f t="shared" si="98"/>
        <v>9.82</v>
      </c>
      <c r="K1076" s="391">
        <f t="shared" si="99"/>
        <v>13.36</v>
      </c>
    </row>
    <row r="1077" spans="8:11">
      <c r="H1077" s="391">
        <f t="shared" si="96"/>
        <v>2.5</v>
      </c>
      <c r="I1077" s="391">
        <f t="shared" si="97"/>
        <v>2.77</v>
      </c>
      <c r="J1077" s="391">
        <f t="shared" si="98"/>
        <v>3.22</v>
      </c>
      <c r="K1077" s="391">
        <f t="shared" si="99"/>
        <v>5.24</v>
      </c>
    </row>
    <row r="1078" spans="8:11">
      <c r="H1078" s="391">
        <f t="shared" si="96"/>
        <v>0.99</v>
      </c>
      <c r="I1078" s="391">
        <f t="shared" si="97"/>
        <v>1.0900000000000001</v>
      </c>
      <c r="J1078" s="391">
        <f t="shared" si="98"/>
        <v>1.1599999999999999</v>
      </c>
      <c r="K1078" s="391">
        <f t="shared" si="99"/>
        <v>1.7</v>
      </c>
    </row>
    <row r="1079" spans="8:11">
      <c r="H1079" s="391">
        <f t="shared" si="96"/>
        <v>14.31</v>
      </c>
      <c r="I1079" s="391">
        <f t="shared" si="97"/>
        <v>15.86</v>
      </c>
      <c r="J1079" s="391">
        <f t="shared" si="98"/>
        <v>15.51</v>
      </c>
      <c r="K1079" s="391">
        <f t="shared" si="99"/>
        <v>20.170000000000002</v>
      </c>
    </row>
    <row r="1080" spans="8:11">
      <c r="H1080" s="391">
        <f t="shared" si="96"/>
        <v>5.86</v>
      </c>
      <c r="I1080" s="391">
        <f t="shared" si="97"/>
        <v>6.49</v>
      </c>
      <c r="J1080" s="391">
        <f t="shared" si="98"/>
        <v>6.75</v>
      </c>
      <c r="K1080" s="391">
        <f t="shared" si="99"/>
        <v>9.6300000000000008</v>
      </c>
    </row>
    <row r="1081" spans="8:11">
      <c r="H1081" s="391">
        <f t="shared" si="96"/>
        <v>6.36</v>
      </c>
      <c r="I1081" s="391">
        <f t="shared" si="97"/>
        <v>7.05</v>
      </c>
      <c r="J1081" s="391">
        <f t="shared" si="98"/>
        <v>7.27</v>
      </c>
      <c r="K1081" s="391">
        <f t="shared" si="99"/>
        <v>10.25</v>
      </c>
    </row>
    <row r="1082" spans="8:11">
      <c r="H1082" s="391">
        <f t="shared" si="96"/>
        <v>7.48</v>
      </c>
      <c r="I1082" s="391">
        <f t="shared" si="97"/>
        <v>8.2899999999999991</v>
      </c>
      <c r="J1082" s="391">
        <f t="shared" si="98"/>
        <v>8.41</v>
      </c>
      <c r="K1082" s="391">
        <f t="shared" si="99"/>
        <v>11.57</v>
      </c>
    </row>
    <row r="1083" spans="8:11">
      <c r="H1083" s="391">
        <f t="shared" si="96"/>
        <v>7.96</v>
      </c>
      <c r="I1083" s="391">
        <f t="shared" si="97"/>
        <v>8.82</v>
      </c>
      <c r="J1083" s="391">
        <f t="shared" si="98"/>
        <v>9.3000000000000007</v>
      </c>
      <c r="K1083" s="391">
        <f t="shared" si="99"/>
        <v>13.5</v>
      </c>
    </row>
    <row r="1084" spans="8:11">
      <c r="H1084" s="391">
        <f t="shared" si="96"/>
        <v>1.63</v>
      </c>
      <c r="I1084" s="391">
        <f t="shared" si="97"/>
        <v>1.8</v>
      </c>
      <c r="J1084" s="391">
        <f t="shared" si="98"/>
        <v>2.31</v>
      </c>
      <c r="K1084" s="391">
        <f t="shared" si="99"/>
        <v>4.13</v>
      </c>
    </row>
    <row r="1085" spans="8:11">
      <c r="H1085" s="391">
        <f t="shared" si="96"/>
        <v>1.4</v>
      </c>
      <c r="I1085" s="391">
        <f t="shared" si="97"/>
        <v>1.55</v>
      </c>
      <c r="J1085" s="391">
        <f t="shared" si="98"/>
        <v>1.88</v>
      </c>
      <c r="K1085" s="391">
        <f t="shared" si="99"/>
        <v>3.19</v>
      </c>
    </row>
    <row r="1086" spans="8:11">
      <c r="H1086" s="391">
        <f t="shared" si="96"/>
        <v>2.5499999999999998</v>
      </c>
      <c r="I1086" s="391">
        <f t="shared" si="97"/>
        <v>2.82</v>
      </c>
      <c r="J1086" s="391">
        <f t="shared" si="98"/>
        <v>3.41</v>
      </c>
      <c r="K1086" s="391">
        <f t="shared" si="99"/>
        <v>5.77</v>
      </c>
    </row>
    <row r="1087" spans="8:11">
      <c r="H1087" s="391">
        <f t="shared" si="96"/>
        <v>4.2300000000000004</v>
      </c>
      <c r="I1087" s="391">
        <f t="shared" si="97"/>
        <v>4.6900000000000004</v>
      </c>
      <c r="J1087" s="391">
        <f t="shared" si="98"/>
        <v>5.2</v>
      </c>
      <c r="K1087" s="391">
        <f t="shared" si="99"/>
        <v>8.0500000000000007</v>
      </c>
    </row>
    <row r="1088" spans="8:11">
      <c r="H1088" s="391">
        <f t="shared" si="96"/>
        <v>6.79</v>
      </c>
      <c r="I1088" s="391">
        <f t="shared" si="97"/>
        <v>7.53</v>
      </c>
      <c r="J1088" s="391">
        <f t="shared" si="98"/>
        <v>8.16</v>
      </c>
      <c r="K1088" s="391">
        <f t="shared" si="99"/>
        <v>12.29</v>
      </c>
    </row>
    <row r="1089" spans="8:11">
      <c r="H1089" s="391">
        <f t="shared" si="96"/>
        <v>1.63</v>
      </c>
      <c r="I1089" s="391">
        <f t="shared" si="97"/>
        <v>1.8</v>
      </c>
      <c r="J1089" s="391">
        <f t="shared" si="98"/>
        <v>2.31</v>
      </c>
      <c r="K1089" s="391">
        <f t="shared" si="99"/>
        <v>4.13</v>
      </c>
    </row>
    <row r="1090" spans="8:11">
      <c r="H1090" s="391">
        <f t="shared" si="96"/>
        <v>6.87</v>
      </c>
      <c r="I1090" s="391">
        <f t="shared" si="97"/>
        <v>7.62</v>
      </c>
      <c r="J1090" s="391">
        <f t="shared" si="98"/>
        <v>6.73</v>
      </c>
      <c r="K1090" s="391">
        <f t="shared" si="99"/>
        <v>7.26</v>
      </c>
    </row>
    <row r="1091" spans="8:11">
      <c r="H1091" s="391">
        <f t="shared" si="96"/>
        <v>10.039999999999999</v>
      </c>
      <c r="I1091" s="391">
        <f t="shared" si="97"/>
        <v>11.13</v>
      </c>
      <c r="J1091" s="391">
        <f t="shared" si="98"/>
        <v>11.25</v>
      </c>
      <c r="K1091" s="391">
        <f t="shared" si="99"/>
        <v>15.41</v>
      </c>
    </row>
    <row r="1092" spans="8:11">
      <c r="H1092" s="391">
        <f t="shared" si="96"/>
        <v>6.8</v>
      </c>
      <c r="I1092" s="391">
        <f t="shared" si="97"/>
        <v>7.54</v>
      </c>
      <c r="J1092" s="391">
        <f t="shared" si="98"/>
        <v>8.5299999999999994</v>
      </c>
      <c r="K1092" s="391">
        <f t="shared" si="99"/>
        <v>13.49</v>
      </c>
    </row>
    <row r="1093" spans="8:11">
      <c r="H1093" s="391">
        <f t="shared" si="96"/>
        <v>5.4</v>
      </c>
      <c r="I1093" s="391">
        <f t="shared" si="97"/>
        <v>5.98</v>
      </c>
      <c r="J1093" s="391">
        <f t="shared" si="98"/>
        <v>6.55</v>
      </c>
      <c r="K1093" s="391">
        <f t="shared" si="99"/>
        <v>9.9600000000000009</v>
      </c>
    </row>
    <row r="1094" spans="8:11">
      <c r="H1094" s="391">
        <f t="shared" si="96"/>
        <v>7.39</v>
      </c>
      <c r="I1094" s="391">
        <f t="shared" si="97"/>
        <v>8.19</v>
      </c>
      <c r="J1094" s="391">
        <f t="shared" si="98"/>
        <v>8.48</v>
      </c>
      <c r="K1094" s="391">
        <f t="shared" si="99"/>
        <v>12.01</v>
      </c>
    </row>
    <row r="1095" spans="8:11">
      <c r="H1095" s="391">
        <f t="shared" si="96"/>
        <v>5.2</v>
      </c>
      <c r="I1095" s="391">
        <f t="shared" si="97"/>
        <v>5.77</v>
      </c>
      <c r="J1095" s="391">
        <f t="shared" si="98"/>
        <v>5.87</v>
      </c>
      <c r="K1095" s="391">
        <f t="shared" si="99"/>
        <v>8.1199999999999992</v>
      </c>
    </row>
    <row r="1096" spans="8:11">
      <c r="H1096" s="391">
        <f t="shared" si="96"/>
        <v>0.88</v>
      </c>
      <c r="I1096" s="391">
        <f t="shared" si="97"/>
        <v>0.98</v>
      </c>
      <c r="J1096" s="391">
        <f t="shared" si="98"/>
        <v>1.23</v>
      </c>
      <c r="K1096" s="391">
        <f t="shared" si="99"/>
        <v>2.1800000000000002</v>
      </c>
    </row>
    <row r="1097" spans="8:11">
      <c r="H1097" s="391">
        <f t="shared" si="96"/>
        <v>6.13</v>
      </c>
      <c r="I1097" s="391">
        <f t="shared" si="97"/>
        <v>6.8</v>
      </c>
      <c r="J1097" s="391">
        <f t="shared" si="98"/>
        <v>6.93</v>
      </c>
      <c r="K1097" s="391">
        <f t="shared" si="99"/>
        <v>9.6199999999999992</v>
      </c>
    </row>
    <row r="1098" spans="8:11">
      <c r="H1098" s="391" t="str">
        <f t="shared" si="96"/>
        <v/>
      </c>
      <c r="I1098" s="391" t="str">
        <f t="shared" si="97"/>
        <v/>
      </c>
      <c r="J1098" s="391" t="str">
        <f t="shared" si="98"/>
        <v/>
      </c>
      <c r="K1098" s="391" t="str">
        <f t="shared" si="99"/>
        <v/>
      </c>
    </row>
    <row r="1099" spans="8:11">
      <c r="H1099" s="391" t="str">
        <f t="shared" si="96"/>
        <v/>
      </c>
      <c r="I1099" s="391" t="str">
        <f t="shared" si="97"/>
        <v/>
      </c>
      <c r="J1099" s="391" t="str">
        <f t="shared" si="98"/>
        <v/>
      </c>
      <c r="K1099" s="391" t="str">
        <f t="shared" si="99"/>
        <v/>
      </c>
    </row>
    <row r="1100" spans="8:11">
      <c r="H1100" s="391" t="str">
        <f t="shared" si="96"/>
        <v/>
      </c>
      <c r="I1100" s="391" t="str">
        <f t="shared" si="97"/>
        <v/>
      </c>
      <c r="J1100" s="391" t="str">
        <f t="shared" si="98"/>
        <v/>
      </c>
      <c r="K1100" s="391" t="str">
        <f t="shared" si="99"/>
        <v/>
      </c>
    </row>
    <row r="1101" spans="8:11">
      <c r="H1101" s="391" t="str">
        <f t="shared" si="96"/>
        <v/>
      </c>
      <c r="I1101" s="391" t="str">
        <f t="shared" si="97"/>
        <v/>
      </c>
      <c r="J1101" s="391" t="str">
        <f t="shared" si="98"/>
        <v/>
      </c>
      <c r="K1101" s="391" t="str">
        <f t="shared" si="99"/>
        <v/>
      </c>
    </row>
    <row r="1102" spans="8:11">
      <c r="H1102" s="391" t="str">
        <f t="shared" si="96"/>
        <v/>
      </c>
      <c r="I1102" s="391" t="str">
        <f t="shared" si="97"/>
        <v/>
      </c>
      <c r="J1102" s="391" t="str">
        <f t="shared" si="98"/>
        <v/>
      </c>
      <c r="K1102" s="391" t="str">
        <f t="shared" si="99"/>
        <v/>
      </c>
    </row>
    <row r="1103" spans="8:11">
      <c r="H1103" s="391" t="str">
        <f t="shared" si="96"/>
        <v/>
      </c>
      <c r="I1103" s="391" t="str">
        <f t="shared" si="97"/>
        <v/>
      </c>
      <c r="J1103" s="391" t="str">
        <f t="shared" si="98"/>
        <v/>
      </c>
      <c r="K1103" s="391" t="str">
        <f t="shared" si="99"/>
        <v/>
      </c>
    </row>
    <row r="1104" spans="8:11">
      <c r="H1104" s="391" t="str">
        <f t="shared" si="96"/>
        <v/>
      </c>
      <c r="I1104" s="391" t="str">
        <f t="shared" si="97"/>
        <v/>
      </c>
      <c r="J1104" s="391" t="str">
        <f t="shared" si="98"/>
        <v/>
      </c>
      <c r="K1104" s="391" t="str">
        <f t="shared" si="99"/>
        <v/>
      </c>
    </row>
    <row r="1105" spans="8:11">
      <c r="H1105" s="391" t="str">
        <f t="shared" si="96"/>
        <v/>
      </c>
      <c r="I1105" s="391" t="str">
        <f t="shared" si="97"/>
        <v/>
      </c>
      <c r="J1105" s="391" t="str">
        <f t="shared" si="98"/>
        <v/>
      </c>
      <c r="K1105" s="391" t="str">
        <f t="shared" si="99"/>
        <v/>
      </c>
    </row>
    <row r="1106" spans="8:11">
      <c r="H1106" s="391" t="str">
        <f t="shared" si="96"/>
        <v/>
      </c>
      <c r="I1106" s="391" t="str">
        <f t="shared" si="97"/>
        <v/>
      </c>
      <c r="J1106" s="391" t="str">
        <f t="shared" si="98"/>
        <v/>
      </c>
      <c r="K1106" s="391" t="str">
        <f t="shared" si="99"/>
        <v/>
      </c>
    </row>
    <row r="1107" spans="8:11">
      <c r="H1107" s="391" t="str">
        <f t="shared" si="96"/>
        <v/>
      </c>
      <c r="I1107" s="391" t="str">
        <f t="shared" si="97"/>
        <v/>
      </c>
      <c r="J1107" s="391" t="str">
        <f t="shared" si="98"/>
        <v/>
      </c>
      <c r="K1107" s="391" t="str">
        <f t="shared" si="99"/>
        <v/>
      </c>
    </row>
    <row r="1108" spans="8:11">
      <c r="H1108" s="391" t="str">
        <f t="shared" si="96"/>
        <v/>
      </c>
      <c r="I1108" s="391" t="str">
        <f t="shared" si="97"/>
        <v/>
      </c>
      <c r="J1108" s="391" t="str">
        <f t="shared" si="98"/>
        <v/>
      </c>
      <c r="K1108" s="391" t="str">
        <f t="shared" si="99"/>
        <v/>
      </c>
    </row>
    <row r="1109" spans="8:11">
      <c r="H1109" s="391" t="str">
        <f t="shared" si="96"/>
        <v/>
      </c>
      <c r="I1109" s="391" t="str">
        <f t="shared" si="97"/>
        <v/>
      </c>
      <c r="J1109" s="391" t="str">
        <f t="shared" si="98"/>
        <v/>
      </c>
      <c r="K1109" s="391" t="str">
        <f t="shared" si="99"/>
        <v/>
      </c>
    </row>
    <row r="1110" spans="8:11">
      <c r="H1110" s="391" t="str">
        <f t="shared" si="96"/>
        <v/>
      </c>
      <c r="I1110" s="391" t="str">
        <f t="shared" si="97"/>
        <v/>
      </c>
      <c r="J1110" s="391" t="str">
        <f t="shared" si="98"/>
        <v/>
      </c>
      <c r="K1110" s="391" t="str">
        <f t="shared" si="99"/>
        <v/>
      </c>
    </row>
    <row r="1111" spans="8:11">
      <c r="H1111" s="391" t="str">
        <f t="shared" si="96"/>
        <v/>
      </c>
      <c r="I1111" s="391" t="str">
        <f t="shared" si="97"/>
        <v/>
      </c>
      <c r="J1111" s="391" t="str">
        <f t="shared" si="98"/>
        <v/>
      </c>
      <c r="K1111" s="391" t="str">
        <f t="shared" si="99"/>
        <v/>
      </c>
    </row>
    <row r="1112" spans="8:11">
      <c r="H1112" s="391" t="str">
        <f t="shared" si="96"/>
        <v/>
      </c>
      <c r="I1112" s="391" t="str">
        <f t="shared" si="97"/>
        <v/>
      </c>
      <c r="J1112" s="391" t="str">
        <f t="shared" si="98"/>
        <v/>
      </c>
      <c r="K1112" s="391" t="str">
        <f t="shared" si="99"/>
        <v/>
      </c>
    </row>
    <row r="1113" spans="8:11">
      <c r="H1113" s="391" t="str">
        <f t="shared" si="96"/>
        <v/>
      </c>
      <c r="I1113" s="391" t="str">
        <f t="shared" si="97"/>
        <v/>
      </c>
      <c r="J1113" s="391" t="str">
        <f t="shared" si="98"/>
        <v/>
      </c>
      <c r="K1113" s="391" t="str">
        <f t="shared" si="99"/>
        <v/>
      </c>
    </row>
    <row r="1114" spans="8:11">
      <c r="H1114" s="391" t="str">
        <f t="shared" si="96"/>
        <v/>
      </c>
      <c r="I1114" s="391" t="str">
        <f t="shared" si="97"/>
        <v/>
      </c>
      <c r="J1114" s="391" t="str">
        <f t="shared" si="98"/>
        <v/>
      </c>
      <c r="K1114" s="391" t="str">
        <f t="shared" si="99"/>
        <v/>
      </c>
    </row>
    <row r="1115" spans="8:11">
      <c r="H1115" s="391" t="str">
        <f t="shared" si="96"/>
        <v/>
      </c>
      <c r="I1115" s="391" t="str">
        <f t="shared" si="97"/>
        <v/>
      </c>
      <c r="J1115" s="391" t="str">
        <f t="shared" si="98"/>
        <v/>
      </c>
      <c r="K1115" s="391" t="str">
        <f t="shared" si="99"/>
        <v/>
      </c>
    </row>
    <row r="1116" spans="8:11">
      <c r="H1116" s="391" t="str">
        <f t="shared" si="96"/>
        <v/>
      </c>
      <c r="I1116" s="391" t="str">
        <f t="shared" si="97"/>
        <v/>
      </c>
      <c r="J1116" s="391" t="str">
        <f t="shared" si="98"/>
        <v/>
      </c>
      <c r="K1116" s="391" t="str">
        <f t="shared" si="99"/>
        <v/>
      </c>
    </row>
    <row r="1117" spans="8:11">
      <c r="H1117" s="391" t="str">
        <f t="shared" si="96"/>
        <v/>
      </c>
      <c r="I1117" s="391" t="str">
        <f t="shared" si="97"/>
        <v/>
      </c>
      <c r="J1117" s="391" t="str">
        <f t="shared" si="98"/>
        <v/>
      </c>
      <c r="K1117" s="391" t="str">
        <f t="shared" si="99"/>
        <v/>
      </c>
    </row>
    <row r="1118" spans="8:11">
      <c r="H1118" s="391" t="str">
        <f t="shared" si="96"/>
        <v/>
      </c>
      <c r="I1118" s="391" t="str">
        <f t="shared" si="97"/>
        <v/>
      </c>
      <c r="J1118" s="391" t="str">
        <f t="shared" si="98"/>
        <v/>
      </c>
      <c r="K1118" s="391" t="str">
        <f t="shared" si="99"/>
        <v/>
      </c>
    </row>
    <row r="1119" spans="8:11">
      <c r="H1119" s="391" t="str">
        <f t="shared" si="96"/>
        <v/>
      </c>
      <c r="I1119" s="391" t="str">
        <f t="shared" si="97"/>
        <v/>
      </c>
      <c r="J1119" s="391" t="str">
        <f t="shared" si="98"/>
        <v/>
      </c>
      <c r="K1119" s="391" t="str">
        <f t="shared" si="99"/>
        <v/>
      </c>
    </row>
    <row r="1120" spans="8:11">
      <c r="H1120" s="391" t="str">
        <f t="shared" si="96"/>
        <v/>
      </c>
      <c r="I1120" s="391" t="str">
        <f t="shared" si="97"/>
        <v/>
      </c>
      <c r="J1120" s="391" t="str">
        <f t="shared" si="98"/>
        <v/>
      </c>
      <c r="K1120" s="391" t="str">
        <f t="shared" si="99"/>
        <v/>
      </c>
    </row>
    <row r="1121" spans="8:11">
      <c r="H1121" s="391" t="str">
        <f t="shared" si="96"/>
        <v/>
      </c>
      <c r="I1121" s="391" t="str">
        <f t="shared" si="97"/>
        <v/>
      </c>
      <c r="J1121" s="391" t="str">
        <f t="shared" si="98"/>
        <v/>
      </c>
      <c r="K1121" s="391" t="str">
        <f t="shared" si="99"/>
        <v/>
      </c>
    </row>
    <row r="1122" spans="8:11">
      <c r="H1122" s="391" t="str">
        <f t="shared" si="96"/>
        <v/>
      </c>
      <c r="I1122" s="391" t="str">
        <f t="shared" si="97"/>
        <v/>
      </c>
      <c r="J1122" s="391" t="str">
        <f t="shared" si="98"/>
        <v/>
      </c>
      <c r="K1122" s="391" t="str">
        <f t="shared" si="99"/>
        <v/>
      </c>
    </row>
    <row r="1123" spans="8:11">
      <c r="H1123" s="391" t="str">
        <f t="shared" si="96"/>
        <v/>
      </c>
      <c r="I1123" s="391" t="str">
        <f t="shared" si="97"/>
        <v/>
      </c>
      <c r="J1123" s="391" t="str">
        <f t="shared" si="98"/>
        <v/>
      </c>
      <c r="K1123" s="391" t="str">
        <f t="shared" si="99"/>
        <v/>
      </c>
    </row>
    <row r="1124" spans="8:11">
      <c r="H1124" s="391" t="str">
        <f t="shared" si="96"/>
        <v/>
      </c>
      <c r="I1124" s="391" t="str">
        <f t="shared" si="97"/>
        <v/>
      </c>
      <c r="J1124" s="391" t="str">
        <f t="shared" si="98"/>
        <v/>
      </c>
      <c r="K1124" s="391" t="str">
        <f t="shared" si="99"/>
        <v/>
      </c>
    </row>
    <row r="1125" spans="8:11">
      <c r="H1125" s="391" t="str">
        <f t="shared" si="96"/>
        <v/>
      </c>
      <c r="I1125" s="391" t="str">
        <f t="shared" si="97"/>
        <v/>
      </c>
      <c r="J1125" s="391" t="str">
        <f t="shared" si="98"/>
        <v/>
      </c>
      <c r="K1125" s="391" t="str">
        <f t="shared" si="99"/>
        <v/>
      </c>
    </row>
    <row r="1126" spans="8:11">
      <c r="H1126" s="391" t="str">
        <f t="shared" si="96"/>
        <v/>
      </c>
      <c r="I1126" s="391" t="str">
        <f t="shared" si="97"/>
        <v/>
      </c>
      <c r="J1126" s="391" t="str">
        <f t="shared" si="98"/>
        <v/>
      </c>
      <c r="K1126" s="391" t="str">
        <f t="shared" si="99"/>
        <v/>
      </c>
    </row>
    <row r="1127" spans="8:11">
      <c r="H1127" s="391" t="str">
        <f t="shared" si="96"/>
        <v/>
      </c>
      <c r="I1127" s="391" t="str">
        <f t="shared" si="97"/>
        <v/>
      </c>
      <c r="J1127" s="391" t="str">
        <f t="shared" si="98"/>
        <v/>
      </c>
      <c r="K1127" s="391" t="str">
        <f t="shared" si="99"/>
        <v/>
      </c>
    </row>
    <row r="1128" spans="8:11">
      <c r="H1128" s="391" t="str">
        <f t="shared" si="96"/>
        <v/>
      </c>
      <c r="I1128" s="391" t="str">
        <f t="shared" si="97"/>
        <v/>
      </c>
      <c r="J1128" s="391" t="str">
        <f t="shared" si="98"/>
        <v/>
      </c>
      <c r="K1128" s="391" t="str">
        <f t="shared" si="99"/>
        <v/>
      </c>
    </row>
    <row r="1129" spans="8:11">
      <c r="H1129" s="391" t="str">
        <f t="shared" ref="H1129:H1192" si="100">IF($C151="","",ROUND(($B$2*$F151*($B$5/1000))/$B$6,2))</f>
        <v/>
      </c>
      <c r="I1129" s="391" t="str">
        <f t="shared" ref="I1129:I1192" si="101">IF($C151="","",ROUND(($B$3*$F151*($B$5/1000))/$B$6,2))</f>
        <v/>
      </c>
      <c r="J1129" s="391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1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>
      <c r="H1130" s="391" t="str">
        <f t="shared" si="100"/>
        <v/>
      </c>
      <c r="I1130" s="391" t="str">
        <f t="shared" si="101"/>
        <v/>
      </c>
      <c r="J1130" s="391" t="str">
        <f t="shared" si="102"/>
        <v/>
      </c>
      <c r="K1130" s="391" t="str">
        <f t="shared" si="103"/>
        <v/>
      </c>
    </row>
    <row r="1131" spans="8:11">
      <c r="H1131" s="391" t="str">
        <f t="shared" si="100"/>
        <v/>
      </c>
      <c r="I1131" s="391" t="str">
        <f t="shared" si="101"/>
        <v/>
      </c>
      <c r="J1131" s="391" t="str">
        <f t="shared" si="102"/>
        <v/>
      </c>
      <c r="K1131" s="391" t="str">
        <f t="shared" si="103"/>
        <v/>
      </c>
    </row>
    <row r="1132" spans="8:11">
      <c r="H1132" s="391" t="str">
        <f t="shared" si="100"/>
        <v/>
      </c>
      <c r="I1132" s="391" t="str">
        <f t="shared" si="101"/>
        <v/>
      </c>
      <c r="J1132" s="391" t="str">
        <f t="shared" si="102"/>
        <v/>
      </c>
      <c r="K1132" s="391" t="str">
        <f t="shared" si="103"/>
        <v/>
      </c>
    </row>
    <row r="1133" spans="8:11">
      <c r="H1133" s="391" t="str">
        <f t="shared" si="100"/>
        <v/>
      </c>
      <c r="I1133" s="391" t="str">
        <f t="shared" si="101"/>
        <v/>
      </c>
      <c r="J1133" s="391" t="str">
        <f t="shared" si="102"/>
        <v/>
      </c>
      <c r="K1133" s="391" t="str">
        <f t="shared" si="103"/>
        <v/>
      </c>
    </row>
    <row r="1134" spans="8:11">
      <c r="H1134" s="391" t="str">
        <f t="shared" si="100"/>
        <v/>
      </c>
      <c r="I1134" s="391" t="str">
        <f t="shared" si="101"/>
        <v/>
      </c>
      <c r="J1134" s="391" t="str">
        <f t="shared" si="102"/>
        <v/>
      </c>
      <c r="K1134" s="391" t="str">
        <f t="shared" si="103"/>
        <v/>
      </c>
    </row>
    <row r="1135" spans="8:11">
      <c r="H1135" s="391" t="str">
        <f t="shared" si="100"/>
        <v/>
      </c>
      <c r="I1135" s="391" t="str">
        <f t="shared" si="101"/>
        <v/>
      </c>
      <c r="J1135" s="391" t="str">
        <f t="shared" si="102"/>
        <v/>
      </c>
      <c r="K1135" s="391" t="str">
        <f t="shared" si="103"/>
        <v/>
      </c>
    </row>
    <row r="1136" spans="8:11">
      <c r="H1136" s="391" t="str">
        <f t="shared" si="100"/>
        <v/>
      </c>
      <c r="I1136" s="391" t="str">
        <f t="shared" si="101"/>
        <v/>
      </c>
      <c r="J1136" s="391" t="str">
        <f t="shared" si="102"/>
        <v/>
      </c>
      <c r="K1136" s="391" t="str">
        <f t="shared" si="103"/>
        <v/>
      </c>
    </row>
    <row r="1137" spans="8:11">
      <c r="H1137" s="391" t="str">
        <f t="shared" si="100"/>
        <v/>
      </c>
      <c r="I1137" s="391" t="str">
        <f t="shared" si="101"/>
        <v/>
      </c>
      <c r="J1137" s="391" t="str">
        <f t="shared" si="102"/>
        <v/>
      </c>
      <c r="K1137" s="391" t="str">
        <f t="shared" si="103"/>
        <v/>
      </c>
    </row>
    <row r="1138" spans="8:11">
      <c r="H1138" s="391" t="str">
        <f t="shared" si="100"/>
        <v/>
      </c>
      <c r="I1138" s="391" t="str">
        <f t="shared" si="101"/>
        <v/>
      </c>
      <c r="J1138" s="391" t="str">
        <f t="shared" si="102"/>
        <v/>
      </c>
      <c r="K1138" s="391" t="str">
        <f t="shared" si="103"/>
        <v/>
      </c>
    </row>
    <row r="1139" spans="8:11">
      <c r="H1139" s="391" t="str">
        <f t="shared" si="100"/>
        <v/>
      </c>
      <c r="I1139" s="391" t="str">
        <f t="shared" si="101"/>
        <v/>
      </c>
      <c r="J1139" s="391" t="str">
        <f t="shared" si="102"/>
        <v/>
      </c>
      <c r="K1139" s="391" t="str">
        <f t="shared" si="103"/>
        <v/>
      </c>
    </row>
    <row r="1140" spans="8:11">
      <c r="H1140" s="391" t="str">
        <f t="shared" si="100"/>
        <v/>
      </c>
      <c r="I1140" s="391" t="str">
        <f t="shared" si="101"/>
        <v/>
      </c>
      <c r="J1140" s="391" t="str">
        <f t="shared" si="102"/>
        <v/>
      </c>
      <c r="K1140" s="391" t="str">
        <f t="shared" si="103"/>
        <v/>
      </c>
    </row>
    <row r="1141" spans="8:11">
      <c r="H1141" s="391" t="str">
        <f t="shared" si="100"/>
        <v/>
      </c>
      <c r="I1141" s="391" t="str">
        <f t="shared" si="101"/>
        <v/>
      </c>
      <c r="J1141" s="391" t="str">
        <f t="shared" si="102"/>
        <v/>
      </c>
      <c r="K1141" s="391" t="str">
        <f t="shared" si="103"/>
        <v/>
      </c>
    </row>
    <row r="1142" spans="8:11">
      <c r="H1142" s="391" t="str">
        <f t="shared" si="100"/>
        <v/>
      </c>
      <c r="I1142" s="391" t="str">
        <f t="shared" si="101"/>
        <v/>
      </c>
      <c r="J1142" s="391" t="str">
        <f t="shared" si="102"/>
        <v/>
      </c>
      <c r="K1142" s="391" t="str">
        <f t="shared" si="103"/>
        <v/>
      </c>
    </row>
    <row r="1143" spans="8:11">
      <c r="H1143" s="391" t="str">
        <f t="shared" si="100"/>
        <v/>
      </c>
      <c r="I1143" s="391" t="str">
        <f t="shared" si="101"/>
        <v/>
      </c>
      <c r="J1143" s="391" t="str">
        <f t="shared" si="102"/>
        <v/>
      </c>
      <c r="K1143" s="391" t="str">
        <f t="shared" si="103"/>
        <v/>
      </c>
    </row>
    <row r="1144" spans="8:11">
      <c r="H1144" s="391" t="str">
        <f t="shared" si="100"/>
        <v/>
      </c>
      <c r="I1144" s="391" t="str">
        <f t="shared" si="101"/>
        <v/>
      </c>
      <c r="J1144" s="391" t="str">
        <f t="shared" si="102"/>
        <v/>
      </c>
      <c r="K1144" s="391" t="str">
        <f t="shared" si="103"/>
        <v/>
      </c>
    </row>
    <row r="1145" spans="8:11">
      <c r="H1145" s="391" t="str">
        <f t="shared" si="100"/>
        <v/>
      </c>
      <c r="I1145" s="391" t="str">
        <f t="shared" si="101"/>
        <v/>
      </c>
      <c r="J1145" s="391" t="str">
        <f t="shared" si="102"/>
        <v/>
      </c>
      <c r="K1145" s="391" t="str">
        <f t="shared" si="103"/>
        <v/>
      </c>
    </row>
    <row r="1146" spans="8:11">
      <c r="H1146" s="391" t="str">
        <f t="shared" si="100"/>
        <v/>
      </c>
      <c r="I1146" s="391" t="str">
        <f t="shared" si="101"/>
        <v/>
      </c>
      <c r="J1146" s="391" t="str">
        <f t="shared" si="102"/>
        <v/>
      </c>
      <c r="K1146" s="391" t="str">
        <f t="shared" si="103"/>
        <v/>
      </c>
    </row>
    <row r="1147" spans="8:11">
      <c r="H1147" s="391" t="str">
        <f t="shared" si="100"/>
        <v/>
      </c>
      <c r="I1147" s="391" t="str">
        <f t="shared" si="101"/>
        <v/>
      </c>
      <c r="J1147" s="391" t="str">
        <f t="shared" si="102"/>
        <v/>
      </c>
      <c r="K1147" s="391" t="str">
        <f t="shared" si="103"/>
        <v/>
      </c>
    </row>
    <row r="1148" spans="8:11">
      <c r="H1148" s="391" t="str">
        <f t="shared" si="100"/>
        <v/>
      </c>
      <c r="I1148" s="391" t="str">
        <f t="shared" si="101"/>
        <v/>
      </c>
      <c r="J1148" s="391" t="str">
        <f t="shared" si="102"/>
        <v/>
      </c>
      <c r="K1148" s="391" t="str">
        <f t="shared" si="103"/>
        <v/>
      </c>
    </row>
    <row r="1149" spans="8:11">
      <c r="H1149" s="391" t="str">
        <f t="shared" si="100"/>
        <v/>
      </c>
      <c r="I1149" s="391" t="str">
        <f t="shared" si="101"/>
        <v/>
      </c>
      <c r="J1149" s="391" t="str">
        <f t="shared" si="102"/>
        <v/>
      </c>
      <c r="K1149" s="391" t="str">
        <f t="shared" si="103"/>
        <v/>
      </c>
    </row>
    <row r="1150" spans="8:11">
      <c r="H1150" s="391" t="str">
        <f t="shared" si="100"/>
        <v/>
      </c>
      <c r="I1150" s="391" t="str">
        <f t="shared" si="101"/>
        <v/>
      </c>
      <c r="J1150" s="391" t="str">
        <f t="shared" si="102"/>
        <v/>
      </c>
      <c r="K1150" s="391" t="str">
        <f t="shared" si="103"/>
        <v/>
      </c>
    </row>
    <row r="1151" spans="8:11">
      <c r="H1151" s="391" t="str">
        <f t="shared" si="100"/>
        <v/>
      </c>
      <c r="I1151" s="391" t="str">
        <f t="shared" si="101"/>
        <v/>
      </c>
      <c r="J1151" s="391" t="str">
        <f t="shared" si="102"/>
        <v/>
      </c>
      <c r="K1151" s="391" t="str">
        <f t="shared" si="103"/>
        <v/>
      </c>
    </row>
    <row r="1152" spans="8:11">
      <c r="H1152" s="391" t="str">
        <f t="shared" si="100"/>
        <v/>
      </c>
      <c r="I1152" s="391" t="str">
        <f t="shared" si="101"/>
        <v/>
      </c>
      <c r="J1152" s="391" t="str">
        <f t="shared" si="102"/>
        <v/>
      </c>
      <c r="K1152" s="391" t="str">
        <f t="shared" si="103"/>
        <v/>
      </c>
    </row>
    <row r="1153" spans="8:11">
      <c r="H1153" s="391" t="str">
        <f t="shared" si="100"/>
        <v/>
      </c>
      <c r="I1153" s="391" t="str">
        <f t="shared" si="101"/>
        <v/>
      </c>
      <c r="J1153" s="391" t="str">
        <f t="shared" si="102"/>
        <v/>
      </c>
      <c r="K1153" s="391" t="str">
        <f t="shared" si="103"/>
        <v/>
      </c>
    </row>
    <row r="1154" spans="8:11">
      <c r="H1154" s="391" t="str">
        <f t="shared" si="100"/>
        <v/>
      </c>
      <c r="I1154" s="391" t="str">
        <f t="shared" si="101"/>
        <v/>
      </c>
      <c r="J1154" s="391" t="str">
        <f t="shared" si="102"/>
        <v/>
      </c>
      <c r="K1154" s="391" t="str">
        <f t="shared" si="103"/>
        <v/>
      </c>
    </row>
    <row r="1155" spans="8:11">
      <c r="H1155" s="391" t="str">
        <f t="shared" si="100"/>
        <v/>
      </c>
      <c r="I1155" s="391" t="str">
        <f t="shared" si="101"/>
        <v/>
      </c>
      <c r="J1155" s="391" t="str">
        <f t="shared" si="102"/>
        <v/>
      </c>
      <c r="K1155" s="391" t="str">
        <f t="shared" si="103"/>
        <v/>
      </c>
    </row>
    <row r="1156" spans="8:11">
      <c r="H1156" s="391" t="str">
        <f t="shared" si="100"/>
        <v/>
      </c>
      <c r="I1156" s="391" t="str">
        <f t="shared" si="101"/>
        <v/>
      </c>
      <c r="J1156" s="391" t="str">
        <f t="shared" si="102"/>
        <v/>
      </c>
      <c r="K1156" s="391" t="str">
        <f t="shared" si="103"/>
        <v/>
      </c>
    </row>
    <row r="1157" spans="8:11">
      <c r="H1157" s="391" t="str">
        <f t="shared" si="100"/>
        <v/>
      </c>
      <c r="I1157" s="391" t="str">
        <f t="shared" si="101"/>
        <v/>
      </c>
      <c r="J1157" s="391" t="str">
        <f t="shared" si="102"/>
        <v/>
      </c>
      <c r="K1157" s="391" t="str">
        <f t="shared" si="103"/>
        <v/>
      </c>
    </row>
    <row r="1158" spans="8:11">
      <c r="H1158" s="391" t="str">
        <f t="shared" si="100"/>
        <v/>
      </c>
      <c r="I1158" s="391" t="str">
        <f t="shared" si="101"/>
        <v/>
      </c>
      <c r="J1158" s="391" t="str">
        <f t="shared" si="102"/>
        <v/>
      </c>
      <c r="K1158" s="391" t="str">
        <f t="shared" si="103"/>
        <v/>
      </c>
    </row>
    <row r="1159" spans="8:11">
      <c r="H1159" s="391" t="str">
        <f t="shared" si="100"/>
        <v/>
      </c>
      <c r="I1159" s="391" t="str">
        <f t="shared" si="101"/>
        <v/>
      </c>
      <c r="J1159" s="391" t="str">
        <f t="shared" si="102"/>
        <v/>
      </c>
      <c r="K1159" s="391" t="str">
        <f t="shared" si="103"/>
        <v/>
      </c>
    </row>
    <row r="1160" spans="8:11">
      <c r="H1160" s="391" t="str">
        <f t="shared" si="100"/>
        <v/>
      </c>
      <c r="I1160" s="391" t="str">
        <f t="shared" si="101"/>
        <v/>
      </c>
      <c r="J1160" s="391" t="str">
        <f t="shared" si="102"/>
        <v/>
      </c>
      <c r="K1160" s="391" t="str">
        <f t="shared" si="103"/>
        <v/>
      </c>
    </row>
    <row r="1161" spans="8:11">
      <c r="H1161" s="391" t="str">
        <f t="shared" si="100"/>
        <v/>
      </c>
      <c r="I1161" s="391" t="str">
        <f t="shared" si="101"/>
        <v/>
      </c>
      <c r="J1161" s="391" t="str">
        <f t="shared" si="102"/>
        <v/>
      </c>
      <c r="K1161" s="391" t="str">
        <f t="shared" si="103"/>
        <v/>
      </c>
    </row>
    <row r="1162" spans="8:11">
      <c r="H1162" s="391" t="str">
        <f t="shared" si="100"/>
        <v/>
      </c>
      <c r="I1162" s="391" t="str">
        <f t="shared" si="101"/>
        <v/>
      </c>
      <c r="J1162" s="391" t="str">
        <f t="shared" si="102"/>
        <v/>
      </c>
      <c r="K1162" s="391" t="str">
        <f t="shared" si="103"/>
        <v/>
      </c>
    </row>
    <row r="1163" spans="8:11">
      <c r="H1163" s="391" t="str">
        <f t="shared" si="100"/>
        <v/>
      </c>
      <c r="I1163" s="391" t="str">
        <f t="shared" si="101"/>
        <v/>
      </c>
      <c r="J1163" s="391" t="str">
        <f t="shared" si="102"/>
        <v/>
      </c>
      <c r="K1163" s="391" t="str">
        <f t="shared" si="103"/>
        <v/>
      </c>
    </row>
    <row r="1164" spans="8:11">
      <c r="H1164" s="391" t="str">
        <f t="shared" si="100"/>
        <v/>
      </c>
      <c r="I1164" s="391" t="str">
        <f t="shared" si="101"/>
        <v/>
      </c>
      <c r="J1164" s="391" t="str">
        <f t="shared" si="102"/>
        <v/>
      </c>
      <c r="K1164" s="391" t="str">
        <f t="shared" si="103"/>
        <v/>
      </c>
    </row>
    <row r="1165" spans="8:11">
      <c r="H1165" s="391" t="str">
        <f t="shared" si="100"/>
        <v/>
      </c>
      <c r="I1165" s="391" t="str">
        <f t="shared" si="101"/>
        <v/>
      </c>
      <c r="J1165" s="391" t="str">
        <f t="shared" si="102"/>
        <v/>
      </c>
      <c r="K1165" s="391" t="str">
        <f t="shared" si="103"/>
        <v/>
      </c>
    </row>
    <row r="1166" spans="8:11">
      <c r="H1166" s="391" t="str">
        <f t="shared" si="100"/>
        <v/>
      </c>
      <c r="I1166" s="391" t="str">
        <f t="shared" si="101"/>
        <v/>
      </c>
      <c r="J1166" s="391" t="str">
        <f t="shared" si="102"/>
        <v/>
      </c>
      <c r="K1166" s="391" t="str">
        <f t="shared" si="103"/>
        <v/>
      </c>
    </row>
    <row r="1167" spans="8:11">
      <c r="H1167" s="391" t="str">
        <f t="shared" si="100"/>
        <v/>
      </c>
      <c r="I1167" s="391" t="str">
        <f t="shared" si="101"/>
        <v/>
      </c>
      <c r="J1167" s="391" t="str">
        <f t="shared" si="102"/>
        <v/>
      </c>
      <c r="K1167" s="391" t="str">
        <f t="shared" si="103"/>
        <v/>
      </c>
    </row>
    <row r="1168" spans="8:11">
      <c r="H1168" s="391" t="str">
        <f t="shared" si="100"/>
        <v/>
      </c>
      <c r="I1168" s="391" t="str">
        <f t="shared" si="101"/>
        <v/>
      </c>
      <c r="J1168" s="391" t="str">
        <f t="shared" si="102"/>
        <v/>
      </c>
      <c r="K1168" s="391" t="str">
        <f t="shared" si="103"/>
        <v/>
      </c>
    </row>
    <row r="1169" spans="8:11">
      <c r="H1169" s="391" t="str">
        <f t="shared" si="100"/>
        <v/>
      </c>
      <c r="I1169" s="391" t="str">
        <f t="shared" si="101"/>
        <v/>
      </c>
      <c r="J1169" s="391" t="str">
        <f t="shared" si="102"/>
        <v/>
      </c>
      <c r="K1169" s="391" t="str">
        <f t="shared" si="103"/>
        <v/>
      </c>
    </row>
    <row r="1170" spans="8:11">
      <c r="H1170" s="391" t="str">
        <f t="shared" si="100"/>
        <v/>
      </c>
      <c r="I1170" s="391" t="str">
        <f t="shared" si="101"/>
        <v/>
      </c>
      <c r="J1170" s="391" t="str">
        <f t="shared" si="102"/>
        <v/>
      </c>
      <c r="K1170" s="391" t="str">
        <f t="shared" si="103"/>
        <v/>
      </c>
    </row>
    <row r="1171" spans="8:11">
      <c r="H1171" s="391" t="str">
        <f t="shared" si="100"/>
        <v/>
      </c>
      <c r="I1171" s="391" t="str">
        <f t="shared" si="101"/>
        <v/>
      </c>
      <c r="J1171" s="391" t="str">
        <f t="shared" si="102"/>
        <v/>
      </c>
      <c r="K1171" s="391" t="str">
        <f t="shared" si="103"/>
        <v/>
      </c>
    </row>
    <row r="1172" spans="8:11">
      <c r="H1172" s="391" t="str">
        <f t="shared" si="100"/>
        <v/>
      </c>
      <c r="I1172" s="391" t="str">
        <f t="shared" si="101"/>
        <v/>
      </c>
      <c r="J1172" s="391" t="str">
        <f t="shared" si="102"/>
        <v/>
      </c>
      <c r="K1172" s="391" t="str">
        <f t="shared" si="103"/>
        <v/>
      </c>
    </row>
    <row r="1173" spans="8:11">
      <c r="H1173" s="391" t="str">
        <f t="shared" si="100"/>
        <v/>
      </c>
      <c r="I1173" s="391" t="str">
        <f t="shared" si="101"/>
        <v/>
      </c>
      <c r="J1173" s="391" t="str">
        <f t="shared" si="102"/>
        <v/>
      </c>
      <c r="K1173" s="391" t="str">
        <f t="shared" si="103"/>
        <v/>
      </c>
    </row>
    <row r="1174" spans="8:11">
      <c r="H1174" s="391" t="str">
        <f t="shared" si="100"/>
        <v/>
      </c>
      <c r="I1174" s="391" t="str">
        <f t="shared" si="101"/>
        <v/>
      </c>
      <c r="J1174" s="391" t="str">
        <f t="shared" si="102"/>
        <v/>
      </c>
      <c r="K1174" s="391" t="str">
        <f t="shared" si="103"/>
        <v/>
      </c>
    </row>
    <row r="1175" spans="8:11">
      <c r="H1175" s="391" t="str">
        <f t="shared" si="100"/>
        <v/>
      </c>
      <c r="I1175" s="391" t="str">
        <f t="shared" si="101"/>
        <v/>
      </c>
      <c r="J1175" s="391" t="str">
        <f t="shared" si="102"/>
        <v/>
      </c>
      <c r="K1175" s="391" t="str">
        <f t="shared" si="103"/>
        <v/>
      </c>
    </row>
    <row r="1176" spans="8:11">
      <c r="H1176" s="391" t="str">
        <f t="shared" si="100"/>
        <v/>
      </c>
      <c r="I1176" s="391" t="str">
        <f t="shared" si="101"/>
        <v/>
      </c>
      <c r="J1176" s="391" t="str">
        <f t="shared" si="102"/>
        <v/>
      </c>
      <c r="K1176" s="391" t="str">
        <f t="shared" si="103"/>
        <v/>
      </c>
    </row>
    <row r="1177" spans="8:11">
      <c r="H1177" s="391" t="str">
        <f t="shared" si="100"/>
        <v/>
      </c>
      <c r="I1177" s="391" t="str">
        <f t="shared" si="101"/>
        <v/>
      </c>
      <c r="J1177" s="391" t="str">
        <f t="shared" si="102"/>
        <v/>
      </c>
      <c r="K1177" s="391" t="str">
        <f t="shared" si="103"/>
        <v/>
      </c>
    </row>
    <row r="1178" spans="8:11">
      <c r="H1178" s="391" t="str">
        <f t="shared" si="100"/>
        <v/>
      </c>
      <c r="I1178" s="391" t="str">
        <f t="shared" si="101"/>
        <v/>
      </c>
      <c r="J1178" s="391" t="str">
        <f t="shared" si="102"/>
        <v/>
      </c>
      <c r="K1178" s="391" t="str">
        <f t="shared" si="103"/>
        <v/>
      </c>
    </row>
    <row r="1179" spans="8:11">
      <c r="H1179" s="391" t="str">
        <f t="shared" si="100"/>
        <v/>
      </c>
      <c r="I1179" s="391" t="str">
        <f t="shared" si="101"/>
        <v/>
      </c>
      <c r="J1179" s="391" t="str">
        <f t="shared" si="102"/>
        <v/>
      </c>
      <c r="K1179" s="391" t="str">
        <f t="shared" si="103"/>
        <v/>
      </c>
    </row>
    <row r="1180" spans="8:11">
      <c r="H1180" s="391" t="str">
        <f t="shared" si="100"/>
        <v/>
      </c>
      <c r="I1180" s="391" t="str">
        <f t="shared" si="101"/>
        <v/>
      </c>
      <c r="J1180" s="391" t="str">
        <f t="shared" si="102"/>
        <v/>
      </c>
      <c r="K1180" s="391" t="str">
        <f t="shared" si="103"/>
        <v/>
      </c>
    </row>
    <row r="1181" spans="8:11">
      <c r="H1181" s="391" t="str">
        <f t="shared" si="100"/>
        <v/>
      </c>
      <c r="I1181" s="391" t="str">
        <f t="shared" si="101"/>
        <v/>
      </c>
      <c r="J1181" s="391" t="str">
        <f t="shared" si="102"/>
        <v/>
      </c>
      <c r="K1181" s="391" t="str">
        <f t="shared" si="103"/>
        <v/>
      </c>
    </row>
    <row r="1182" spans="8:11">
      <c r="H1182" s="391" t="str">
        <f t="shared" si="100"/>
        <v/>
      </c>
      <c r="I1182" s="391" t="str">
        <f t="shared" si="101"/>
        <v/>
      </c>
      <c r="J1182" s="391" t="str">
        <f t="shared" si="102"/>
        <v/>
      </c>
      <c r="K1182" s="391" t="str">
        <f t="shared" si="103"/>
        <v/>
      </c>
    </row>
    <row r="1183" spans="8:11">
      <c r="H1183" s="391" t="str">
        <f t="shared" si="100"/>
        <v/>
      </c>
      <c r="I1183" s="391" t="str">
        <f t="shared" si="101"/>
        <v/>
      </c>
      <c r="J1183" s="391" t="str">
        <f t="shared" si="102"/>
        <v/>
      </c>
      <c r="K1183" s="391" t="str">
        <f t="shared" si="103"/>
        <v/>
      </c>
    </row>
    <row r="1184" spans="8:11">
      <c r="H1184" s="391" t="str">
        <f t="shared" si="100"/>
        <v/>
      </c>
      <c r="I1184" s="391" t="str">
        <f t="shared" si="101"/>
        <v/>
      </c>
      <c r="J1184" s="391" t="str">
        <f t="shared" si="102"/>
        <v/>
      </c>
      <c r="K1184" s="391" t="str">
        <f t="shared" si="103"/>
        <v/>
      </c>
    </row>
    <row r="1185" spans="8:11">
      <c r="H1185" s="391" t="str">
        <f t="shared" si="100"/>
        <v/>
      </c>
      <c r="I1185" s="391" t="str">
        <f t="shared" si="101"/>
        <v/>
      </c>
      <c r="J1185" s="391" t="str">
        <f t="shared" si="102"/>
        <v/>
      </c>
      <c r="K1185" s="391" t="str">
        <f t="shared" si="103"/>
        <v/>
      </c>
    </row>
    <row r="1186" spans="8:11">
      <c r="H1186" s="391" t="str">
        <f t="shared" si="100"/>
        <v/>
      </c>
      <c r="I1186" s="391" t="str">
        <f t="shared" si="101"/>
        <v/>
      </c>
      <c r="J1186" s="391" t="str">
        <f t="shared" si="102"/>
        <v/>
      </c>
      <c r="K1186" s="391" t="str">
        <f t="shared" si="103"/>
        <v/>
      </c>
    </row>
    <row r="1187" spans="8:11">
      <c r="H1187" s="391" t="str">
        <f t="shared" si="100"/>
        <v/>
      </c>
      <c r="I1187" s="391" t="str">
        <f t="shared" si="101"/>
        <v/>
      </c>
      <c r="J1187" s="391" t="str">
        <f t="shared" si="102"/>
        <v/>
      </c>
      <c r="K1187" s="391" t="str">
        <f t="shared" si="103"/>
        <v/>
      </c>
    </row>
    <row r="1188" spans="8:11">
      <c r="H1188" s="391" t="str">
        <f t="shared" si="100"/>
        <v/>
      </c>
      <c r="I1188" s="391" t="str">
        <f t="shared" si="101"/>
        <v/>
      </c>
      <c r="J1188" s="391" t="str">
        <f t="shared" si="102"/>
        <v/>
      </c>
      <c r="K1188" s="391" t="str">
        <f t="shared" si="103"/>
        <v/>
      </c>
    </row>
    <row r="1189" spans="8:11">
      <c r="H1189" s="391" t="str">
        <f t="shared" si="100"/>
        <v/>
      </c>
      <c r="I1189" s="391" t="str">
        <f t="shared" si="101"/>
        <v/>
      </c>
      <c r="J1189" s="391" t="str">
        <f t="shared" si="102"/>
        <v/>
      </c>
      <c r="K1189" s="391" t="str">
        <f t="shared" si="103"/>
        <v/>
      </c>
    </row>
    <row r="1190" spans="8:11">
      <c r="H1190" s="391" t="str">
        <f t="shared" si="100"/>
        <v/>
      </c>
      <c r="I1190" s="391" t="str">
        <f t="shared" si="101"/>
        <v/>
      </c>
      <c r="J1190" s="391" t="str">
        <f t="shared" si="102"/>
        <v/>
      </c>
      <c r="K1190" s="391" t="str">
        <f t="shared" si="103"/>
        <v/>
      </c>
    </row>
    <row r="1191" spans="8:11">
      <c r="H1191" s="391" t="str">
        <f t="shared" si="100"/>
        <v/>
      </c>
      <c r="I1191" s="391" t="str">
        <f t="shared" si="101"/>
        <v/>
      </c>
      <c r="J1191" s="391" t="str">
        <f t="shared" si="102"/>
        <v/>
      </c>
      <c r="K1191" s="391" t="str">
        <f t="shared" si="103"/>
        <v/>
      </c>
    </row>
    <row r="1192" spans="8:11">
      <c r="H1192" s="391" t="str">
        <f t="shared" si="100"/>
        <v/>
      </c>
      <c r="I1192" s="391" t="str">
        <f t="shared" si="101"/>
        <v/>
      </c>
      <c r="J1192" s="391" t="str">
        <f t="shared" si="102"/>
        <v/>
      </c>
      <c r="K1192" s="391" t="str">
        <f t="shared" si="103"/>
        <v/>
      </c>
    </row>
    <row r="1193" spans="8:11">
      <c r="H1193" s="391" t="str">
        <f t="shared" ref="H1193:H1256" si="104">IF($C215="","",ROUND(($B$2*$F215*($B$5/1000))/$B$6,2))</f>
        <v/>
      </c>
      <c r="I1193" s="391" t="str">
        <f t="shared" ref="I1193:I1256" si="105">IF($C215="","",ROUND(($B$3*$F215*($B$5/1000))/$B$6,2))</f>
        <v/>
      </c>
      <c r="J1193" s="391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1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>
      <c r="H1194" s="391" t="str">
        <f t="shared" si="104"/>
        <v/>
      </c>
      <c r="I1194" s="391" t="str">
        <f t="shared" si="105"/>
        <v/>
      </c>
      <c r="J1194" s="391" t="str">
        <f t="shared" si="106"/>
        <v/>
      </c>
      <c r="K1194" s="391" t="str">
        <f t="shared" si="107"/>
        <v/>
      </c>
    </row>
    <row r="1195" spans="8:11">
      <c r="H1195" s="391" t="str">
        <f t="shared" si="104"/>
        <v/>
      </c>
      <c r="I1195" s="391" t="str">
        <f t="shared" si="105"/>
        <v/>
      </c>
      <c r="J1195" s="391" t="str">
        <f t="shared" si="106"/>
        <v/>
      </c>
      <c r="K1195" s="391" t="str">
        <f t="shared" si="107"/>
        <v/>
      </c>
    </row>
    <row r="1196" spans="8:11">
      <c r="H1196" s="391" t="str">
        <f t="shared" si="104"/>
        <v/>
      </c>
      <c r="I1196" s="391" t="str">
        <f t="shared" si="105"/>
        <v/>
      </c>
      <c r="J1196" s="391" t="str">
        <f t="shared" si="106"/>
        <v/>
      </c>
      <c r="K1196" s="391" t="str">
        <f t="shared" si="107"/>
        <v/>
      </c>
    </row>
    <row r="1197" spans="8:11">
      <c r="H1197" s="391" t="str">
        <f t="shared" si="104"/>
        <v/>
      </c>
      <c r="I1197" s="391" t="str">
        <f t="shared" si="105"/>
        <v/>
      </c>
      <c r="J1197" s="391" t="str">
        <f t="shared" si="106"/>
        <v/>
      </c>
      <c r="K1197" s="391" t="str">
        <f t="shared" si="107"/>
        <v/>
      </c>
    </row>
    <row r="1198" spans="8:11">
      <c r="H1198" s="391" t="str">
        <f t="shared" si="104"/>
        <v/>
      </c>
      <c r="I1198" s="391" t="str">
        <f t="shared" si="105"/>
        <v/>
      </c>
      <c r="J1198" s="391" t="str">
        <f t="shared" si="106"/>
        <v/>
      </c>
      <c r="K1198" s="391" t="str">
        <f t="shared" si="107"/>
        <v/>
      </c>
    </row>
    <row r="1199" spans="8:11">
      <c r="H1199" s="391" t="str">
        <f t="shared" si="104"/>
        <v/>
      </c>
      <c r="I1199" s="391" t="str">
        <f t="shared" si="105"/>
        <v/>
      </c>
      <c r="J1199" s="391" t="str">
        <f t="shared" si="106"/>
        <v/>
      </c>
      <c r="K1199" s="391" t="str">
        <f t="shared" si="107"/>
        <v/>
      </c>
    </row>
    <row r="1200" spans="8:11">
      <c r="H1200" s="391" t="str">
        <f t="shared" si="104"/>
        <v/>
      </c>
      <c r="I1200" s="391" t="str">
        <f t="shared" si="105"/>
        <v/>
      </c>
      <c r="J1200" s="391" t="str">
        <f t="shared" si="106"/>
        <v/>
      </c>
      <c r="K1200" s="391" t="str">
        <f t="shared" si="107"/>
        <v/>
      </c>
    </row>
    <row r="1201" spans="8:11">
      <c r="H1201" s="391" t="str">
        <f t="shared" si="104"/>
        <v/>
      </c>
      <c r="I1201" s="391" t="str">
        <f t="shared" si="105"/>
        <v/>
      </c>
      <c r="J1201" s="391" t="str">
        <f t="shared" si="106"/>
        <v/>
      </c>
      <c r="K1201" s="391" t="str">
        <f t="shared" si="107"/>
        <v/>
      </c>
    </row>
    <row r="1202" spans="8:11">
      <c r="H1202" s="391" t="str">
        <f t="shared" si="104"/>
        <v/>
      </c>
      <c r="I1202" s="391" t="str">
        <f t="shared" si="105"/>
        <v/>
      </c>
      <c r="J1202" s="391" t="str">
        <f t="shared" si="106"/>
        <v/>
      </c>
      <c r="K1202" s="391" t="str">
        <f t="shared" si="107"/>
        <v/>
      </c>
    </row>
    <row r="1203" spans="8:11">
      <c r="H1203" s="391" t="str">
        <f t="shared" si="104"/>
        <v/>
      </c>
      <c r="I1203" s="391" t="str">
        <f t="shared" si="105"/>
        <v/>
      </c>
      <c r="J1203" s="391" t="str">
        <f t="shared" si="106"/>
        <v/>
      </c>
      <c r="K1203" s="391" t="str">
        <f t="shared" si="107"/>
        <v/>
      </c>
    </row>
    <row r="1204" spans="8:11">
      <c r="H1204" s="391" t="str">
        <f t="shared" si="104"/>
        <v/>
      </c>
      <c r="I1204" s="391" t="str">
        <f t="shared" si="105"/>
        <v/>
      </c>
      <c r="J1204" s="391" t="str">
        <f t="shared" si="106"/>
        <v/>
      </c>
      <c r="K1204" s="391" t="str">
        <f t="shared" si="107"/>
        <v/>
      </c>
    </row>
    <row r="1205" spans="8:11">
      <c r="H1205" s="391" t="str">
        <f t="shared" si="104"/>
        <v/>
      </c>
      <c r="I1205" s="391" t="str">
        <f t="shared" si="105"/>
        <v/>
      </c>
      <c r="J1205" s="391" t="str">
        <f t="shared" si="106"/>
        <v/>
      </c>
      <c r="K1205" s="391" t="str">
        <f t="shared" si="107"/>
        <v/>
      </c>
    </row>
    <row r="1206" spans="8:11">
      <c r="H1206" s="391" t="str">
        <f t="shared" si="104"/>
        <v/>
      </c>
      <c r="I1206" s="391" t="str">
        <f t="shared" si="105"/>
        <v/>
      </c>
      <c r="J1206" s="391" t="str">
        <f t="shared" si="106"/>
        <v/>
      </c>
      <c r="K1206" s="391" t="str">
        <f t="shared" si="107"/>
        <v/>
      </c>
    </row>
    <row r="1207" spans="8:11">
      <c r="H1207" s="391" t="str">
        <f t="shared" si="104"/>
        <v/>
      </c>
      <c r="I1207" s="391" t="str">
        <f t="shared" si="105"/>
        <v/>
      </c>
      <c r="J1207" s="391" t="str">
        <f t="shared" si="106"/>
        <v/>
      </c>
      <c r="K1207" s="391" t="str">
        <f t="shared" si="107"/>
        <v/>
      </c>
    </row>
    <row r="1208" spans="8:11">
      <c r="H1208" s="391" t="str">
        <f t="shared" si="104"/>
        <v/>
      </c>
      <c r="I1208" s="391" t="str">
        <f t="shared" si="105"/>
        <v/>
      </c>
      <c r="J1208" s="391" t="str">
        <f t="shared" si="106"/>
        <v/>
      </c>
      <c r="K1208" s="391" t="str">
        <f t="shared" si="107"/>
        <v/>
      </c>
    </row>
    <row r="1209" spans="8:11">
      <c r="H1209" s="391" t="str">
        <f t="shared" si="104"/>
        <v/>
      </c>
      <c r="I1209" s="391" t="str">
        <f t="shared" si="105"/>
        <v/>
      </c>
      <c r="J1209" s="391" t="str">
        <f t="shared" si="106"/>
        <v/>
      </c>
      <c r="K1209" s="391" t="str">
        <f t="shared" si="107"/>
        <v/>
      </c>
    </row>
    <row r="1210" spans="8:11">
      <c r="H1210" s="391" t="str">
        <f t="shared" si="104"/>
        <v/>
      </c>
      <c r="I1210" s="391" t="str">
        <f t="shared" si="105"/>
        <v/>
      </c>
      <c r="J1210" s="391" t="str">
        <f t="shared" si="106"/>
        <v/>
      </c>
      <c r="K1210" s="391" t="str">
        <f t="shared" si="107"/>
        <v/>
      </c>
    </row>
    <row r="1211" spans="8:11">
      <c r="H1211" s="391" t="str">
        <f t="shared" si="104"/>
        <v/>
      </c>
      <c r="I1211" s="391" t="str">
        <f t="shared" si="105"/>
        <v/>
      </c>
      <c r="J1211" s="391" t="str">
        <f t="shared" si="106"/>
        <v/>
      </c>
      <c r="K1211" s="391" t="str">
        <f t="shared" si="107"/>
        <v/>
      </c>
    </row>
    <row r="1212" spans="8:11">
      <c r="H1212" s="391" t="str">
        <f t="shared" si="104"/>
        <v/>
      </c>
      <c r="I1212" s="391" t="str">
        <f t="shared" si="105"/>
        <v/>
      </c>
      <c r="J1212" s="391" t="str">
        <f t="shared" si="106"/>
        <v/>
      </c>
      <c r="K1212" s="391" t="str">
        <f t="shared" si="107"/>
        <v/>
      </c>
    </row>
    <row r="1213" spans="8:11">
      <c r="H1213" s="391" t="str">
        <f t="shared" si="104"/>
        <v/>
      </c>
      <c r="I1213" s="391" t="str">
        <f t="shared" si="105"/>
        <v/>
      </c>
      <c r="J1213" s="391" t="str">
        <f t="shared" si="106"/>
        <v/>
      </c>
      <c r="K1213" s="391" t="str">
        <f t="shared" si="107"/>
        <v/>
      </c>
    </row>
    <row r="1214" spans="8:11">
      <c r="H1214" s="391" t="str">
        <f t="shared" si="104"/>
        <v/>
      </c>
      <c r="I1214" s="391" t="str">
        <f t="shared" si="105"/>
        <v/>
      </c>
      <c r="J1214" s="391" t="str">
        <f t="shared" si="106"/>
        <v/>
      </c>
      <c r="K1214" s="391" t="str">
        <f t="shared" si="107"/>
        <v/>
      </c>
    </row>
    <row r="1215" spans="8:11">
      <c r="H1215" s="391" t="str">
        <f t="shared" si="104"/>
        <v/>
      </c>
      <c r="I1215" s="391" t="str">
        <f t="shared" si="105"/>
        <v/>
      </c>
      <c r="J1215" s="391" t="str">
        <f t="shared" si="106"/>
        <v/>
      </c>
      <c r="K1215" s="391" t="str">
        <f t="shared" si="107"/>
        <v/>
      </c>
    </row>
    <row r="1216" spans="8:11">
      <c r="H1216" s="391" t="str">
        <f t="shared" si="104"/>
        <v/>
      </c>
      <c r="I1216" s="391" t="str">
        <f t="shared" si="105"/>
        <v/>
      </c>
      <c r="J1216" s="391" t="str">
        <f t="shared" si="106"/>
        <v/>
      </c>
      <c r="K1216" s="391" t="str">
        <f t="shared" si="107"/>
        <v/>
      </c>
    </row>
    <row r="1217" spans="8:11">
      <c r="H1217" s="391" t="str">
        <f t="shared" si="104"/>
        <v/>
      </c>
      <c r="I1217" s="391" t="str">
        <f t="shared" si="105"/>
        <v/>
      </c>
      <c r="J1217" s="391" t="str">
        <f t="shared" si="106"/>
        <v/>
      </c>
      <c r="K1217" s="391" t="str">
        <f t="shared" si="107"/>
        <v/>
      </c>
    </row>
    <row r="1218" spans="8:11">
      <c r="H1218" s="391" t="str">
        <f t="shared" si="104"/>
        <v/>
      </c>
      <c r="I1218" s="391" t="str">
        <f t="shared" si="105"/>
        <v/>
      </c>
      <c r="J1218" s="391" t="str">
        <f t="shared" si="106"/>
        <v/>
      </c>
      <c r="K1218" s="391" t="str">
        <f t="shared" si="107"/>
        <v/>
      </c>
    </row>
    <row r="1219" spans="8:11">
      <c r="H1219" s="391" t="str">
        <f t="shared" si="104"/>
        <v/>
      </c>
      <c r="I1219" s="391" t="str">
        <f t="shared" si="105"/>
        <v/>
      </c>
      <c r="J1219" s="391" t="str">
        <f t="shared" si="106"/>
        <v/>
      </c>
      <c r="K1219" s="391" t="str">
        <f t="shared" si="107"/>
        <v/>
      </c>
    </row>
    <row r="1220" spans="8:11">
      <c r="H1220" s="391" t="str">
        <f t="shared" si="104"/>
        <v/>
      </c>
      <c r="I1220" s="391" t="str">
        <f t="shared" si="105"/>
        <v/>
      </c>
      <c r="J1220" s="391" t="str">
        <f t="shared" si="106"/>
        <v/>
      </c>
      <c r="K1220" s="391" t="str">
        <f t="shared" si="107"/>
        <v/>
      </c>
    </row>
    <row r="1221" spans="8:11">
      <c r="H1221" s="391" t="str">
        <f t="shared" si="104"/>
        <v/>
      </c>
      <c r="I1221" s="391" t="str">
        <f t="shared" si="105"/>
        <v/>
      </c>
      <c r="J1221" s="391" t="str">
        <f t="shared" si="106"/>
        <v/>
      </c>
      <c r="K1221" s="391" t="str">
        <f t="shared" si="107"/>
        <v/>
      </c>
    </row>
    <row r="1222" spans="8:11">
      <c r="H1222" s="391" t="str">
        <f t="shared" si="104"/>
        <v/>
      </c>
      <c r="I1222" s="391" t="str">
        <f t="shared" si="105"/>
        <v/>
      </c>
      <c r="J1222" s="391" t="str">
        <f t="shared" si="106"/>
        <v/>
      </c>
      <c r="K1222" s="391" t="str">
        <f t="shared" si="107"/>
        <v/>
      </c>
    </row>
    <row r="1223" spans="8:11">
      <c r="H1223" s="391" t="str">
        <f t="shared" si="104"/>
        <v/>
      </c>
      <c r="I1223" s="391" t="str">
        <f t="shared" si="105"/>
        <v/>
      </c>
      <c r="J1223" s="391" t="str">
        <f t="shared" si="106"/>
        <v/>
      </c>
      <c r="K1223" s="391" t="str">
        <f t="shared" si="107"/>
        <v/>
      </c>
    </row>
    <row r="1224" spans="8:11">
      <c r="H1224" s="391" t="str">
        <f t="shared" si="104"/>
        <v/>
      </c>
      <c r="I1224" s="391" t="str">
        <f t="shared" si="105"/>
        <v/>
      </c>
      <c r="J1224" s="391" t="str">
        <f t="shared" si="106"/>
        <v/>
      </c>
      <c r="K1224" s="391" t="str">
        <f t="shared" si="107"/>
        <v/>
      </c>
    </row>
    <row r="1225" spans="8:11">
      <c r="H1225" s="391" t="str">
        <f t="shared" si="104"/>
        <v/>
      </c>
      <c r="I1225" s="391" t="str">
        <f t="shared" si="105"/>
        <v/>
      </c>
      <c r="J1225" s="391" t="str">
        <f t="shared" si="106"/>
        <v/>
      </c>
      <c r="K1225" s="391" t="str">
        <f t="shared" si="107"/>
        <v/>
      </c>
    </row>
    <row r="1226" spans="8:11">
      <c r="H1226" s="391" t="str">
        <f t="shared" si="104"/>
        <v/>
      </c>
      <c r="I1226" s="391" t="str">
        <f t="shared" si="105"/>
        <v/>
      </c>
      <c r="J1226" s="391" t="str">
        <f t="shared" si="106"/>
        <v/>
      </c>
      <c r="K1226" s="391" t="str">
        <f t="shared" si="107"/>
        <v/>
      </c>
    </row>
    <row r="1227" spans="8:11">
      <c r="H1227" s="391" t="str">
        <f t="shared" si="104"/>
        <v/>
      </c>
      <c r="I1227" s="391" t="str">
        <f t="shared" si="105"/>
        <v/>
      </c>
      <c r="J1227" s="391" t="str">
        <f t="shared" si="106"/>
        <v/>
      </c>
      <c r="K1227" s="391" t="str">
        <f t="shared" si="107"/>
        <v/>
      </c>
    </row>
    <row r="1228" spans="8:11">
      <c r="H1228" s="391" t="str">
        <f t="shared" si="104"/>
        <v/>
      </c>
      <c r="I1228" s="391" t="str">
        <f t="shared" si="105"/>
        <v/>
      </c>
      <c r="J1228" s="391" t="str">
        <f t="shared" si="106"/>
        <v/>
      </c>
      <c r="K1228" s="391" t="str">
        <f t="shared" si="107"/>
        <v/>
      </c>
    </row>
    <row r="1229" spans="8:11">
      <c r="H1229" s="391" t="str">
        <f t="shared" si="104"/>
        <v/>
      </c>
      <c r="I1229" s="391" t="str">
        <f t="shared" si="105"/>
        <v/>
      </c>
      <c r="J1229" s="391" t="str">
        <f t="shared" si="106"/>
        <v/>
      </c>
      <c r="K1229" s="391" t="str">
        <f t="shared" si="107"/>
        <v/>
      </c>
    </row>
    <row r="1230" spans="8:11">
      <c r="H1230" s="391" t="str">
        <f t="shared" si="104"/>
        <v/>
      </c>
      <c r="I1230" s="391" t="str">
        <f t="shared" si="105"/>
        <v/>
      </c>
      <c r="J1230" s="391" t="str">
        <f t="shared" si="106"/>
        <v/>
      </c>
      <c r="K1230" s="391" t="str">
        <f t="shared" si="107"/>
        <v/>
      </c>
    </row>
    <row r="1231" spans="8:11">
      <c r="H1231" s="391" t="str">
        <f t="shared" si="104"/>
        <v/>
      </c>
      <c r="I1231" s="391" t="str">
        <f t="shared" si="105"/>
        <v/>
      </c>
      <c r="J1231" s="391" t="str">
        <f t="shared" si="106"/>
        <v/>
      </c>
      <c r="K1231" s="391" t="str">
        <f t="shared" si="107"/>
        <v/>
      </c>
    </row>
    <row r="1232" spans="8:11">
      <c r="H1232" s="391" t="str">
        <f t="shared" si="104"/>
        <v/>
      </c>
      <c r="I1232" s="391" t="str">
        <f t="shared" si="105"/>
        <v/>
      </c>
      <c r="J1232" s="391" t="str">
        <f t="shared" si="106"/>
        <v/>
      </c>
      <c r="K1232" s="391" t="str">
        <f t="shared" si="107"/>
        <v/>
      </c>
    </row>
    <row r="1233" spans="8:11">
      <c r="H1233" s="391" t="str">
        <f t="shared" si="104"/>
        <v/>
      </c>
      <c r="I1233" s="391" t="str">
        <f t="shared" si="105"/>
        <v/>
      </c>
      <c r="J1233" s="391" t="str">
        <f t="shared" si="106"/>
        <v/>
      </c>
      <c r="K1233" s="391" t="str">
        <f t="shared" si="107"/>
        <v/>
      </c>
    </row>
    <row r="1234" spans="8:11">
      <c r="H1234" s="391" t="str">
        <f t="shared" si="104"/>
        <v/>
      </c>
      <c r="I1234" s="391" t="str">
        <f t="shared" si="105"/>
        <v/>
      </c>
      <c r="J1234" s="391" t="str">
        <f t="shared" si="106"/>
        <v/>
      </c>
      <c r="K1234" s="391" t="str">
        <f t="shared" si="107"/>
        <v/>
      </c>
    </row>
    <row r="1235" spans="8:11">
      <c r="H1235" s="391" t="str">
        <f t="shared" si="104"/>
        <v/>
      </c>
      <c r="I1235" s="391" t="str">
        <f t="shared" si="105"/>
        <v/>
      </c>
      <c r="J1235" s="391" t="str">
        <f t="shared" si="106"/>
        <v/>
      </c>
      <c r="K1235" s="391" t="str">
        <f t="shared" si="107"/>
        <v/>
      </c>
    </row>
    <row r="1236" spans="8:11">
      <c r="H1236" s="391" t="str">
        <f t="shared" si="104"/>
        <v/>
      </c>
      <c r="I1236" s="391" t="str">
        <f t="shared" si="105"/>
        <v/>
      </c>
      <c r="J1236" s="391" t="str">
        <f t="shared" si="106"/>
        <v/>
      </c>
      <c r="K1236" s="391" t="str">
        <f t="shared" si="107"/>
        <v/>
      </c>
    </row>
    <row r="1237" spans="8:11">
      <c r="H1237" s="391" t="str">
        <f t="shared" si="104"/>
        <v/>
      </c>
      <c r="I1237" s="391" t="str">
        <f t="shared" si="105"/>
        <v/>
      </c>
      <c r="J1237" s="391" t="str">
        <f t="shared" si="106"/>
        <v/>
      </c>
      <c r="K1237" s="391" t="str">
        <f t="shared" si="107"/>
        <v/>
      </c>
    </row>
    <row r="1238" spans="8:11">
      <c r="H1238" s="391" t="str">
        <f t="shared" si="104"/>
        <v/>
      </c>
      <c r="I1238" s="391" t="str">
        <f t="shared" si="105"/>
        <v/>
      </c>
      <c r="J1238" s="391" t="str">
        <f t="shared" si="106"/>
        <v/>
      </c>
      <c r="K1238" s="391" t="str">
        <f t="shared" si="107"/>
        <v/>
      </c>
    </row>
    <row r="1239" spans="8:11">
      <c r="H1239" s="391" t="str">
        <f t="shared" si="104"/>
        <v/>
      </c>
      <c r="I1239" s="391" t="str">
        <f t="shared" si="105"/>
        <v/>
      </c>
      <c r="J1239" s="391" t="str">
        <f t="shared" si="106"/>
        <v/>
      </c>
      <c r="K1239" s="391" t="str">
        <f t="shared" si="107"/>
        <v/>
      </c>
    </row>
    <row r="1240" spans="8:11">
      <c r="H1240" s="391" t="str">
        <f t="shared" si="104"/>
        <v/>
      </c>
      <c r="I1240" s="391" t="str">
        <f t="shared" si="105"/>
        <v/>
      </c>
      <c r="J1240" s="391" t="str">
        <f t="shared" si="106"/>
        <v/>
      </c>
      <c r="K1240" s="391" t="str">
        <f t="shared" si="107"/>
        <v/>
      </c>
    </row>
    <row r="1241" spans="8:11">
      <c r="H1241" s="391" t="str">
        <f t="shared" si="104"/>
        <v/>
      </c>
      <c r="I1241" s="391" t="str">
        <f t="shared" si="105"/>
        <v/>
      </c>
      <c r="J1241" s="391" t="str">
        <f t="shared" si="106"/>
        <v/>
      </c>
      <c r="K1241" s="391" t="str">
        <f t="shared" si="107"/>
        <v/>
      </c>
    </row>
    <row r="1242" spans="8:11">
      <c r="H1242" s="391" t="str">
        <f t="shared" si="104"/>
        <v/>
      </c>
      <c r="I1242" s="391" t="str">
        <f t="shared" si="105"/>
        <v/>
      </c>
      <c r="J1242" s="391" t="str">
        <f t="shared" si="106"/>
        <v/>
      </c>
      <c r="K1242" s="391" t="str">
        <f t="shared" si="107"/>
        <v/>
      </c>
    </row>
    <row r="1243" spans="8:11">
      <c r="H1243" s="391" t="str">
        <f t="shared" si="104"/>
        <v/>
      </c>
      <c r="I1243" s="391" t="str">
        <f t="shared" si="105"/>
        <v/>
      </c>
      <c r="J1243" s="391" t="str">
        <f t="shared" si="106"/>
        <v/>
      </c>
      <c r="K1243" s="391" t="str">
        <f t="shared" si="107"/>
        <v/>
      </c>
    </row>
    <row r="1244" spans="8:11">
      <c r="H1244" s="391" t="str">
        <f t="shared" si="104"/>
        <v/>
      </c>
      <c r="I1244" s="391" t="str">
        <f t="shared" si="105"/>
        <v/>
      </c>
      <c r="J1244" s="391" t="str">
        <f t="shared" si="106"/>
        <v/>
      </c>
      <c r="K1244" s="391" t="str">
        <f t="shared" si="107"/>
        <v/>
      </c>
    </row>
    <row r="1245" spans="8:11">
      <c r="H1245" s="391" t="str">
        <f t="shared" si="104"/>
        <v/>
      </c>
      <c r="I1245" s="391" t="str">
        <f t="shared" si="105"/>
        <v/>
      </c>
      <c r="J1245" s="391" t="str">
        <f t="shared" si="106"/>
        <v/>
      </c>
      <c r="K1245" s="391" t="str">
        <f t="shared" si="107"/>
        <v/>
      </c>
    </row>
    <row r="1246" spans="8:11">
      <c r="H1246" s="391" t="str">
        <f t="shared" si="104"/>
        <v/>
      </c>
      <c r="I1246" s="391" t="str">
        <f t="shared" si="105"/>
        <v/>
      </c>
      <c r="J1246" s="391" t="str">
        <f t="shared" si="106"/>
        <v/>
      </c>
      <c r="K1246" s="391" t="str">
        <f t="shared" si="107"/>
        <v/>
      </c>
    </row>
    <row r="1247" spans="8:11">
      <c r="H1247" s="391" t="str">
        <f t="shared" si="104"/>
        <v/>
      </c>
      <c r="I1247" s="391" t="str">
        <f t="shared" si="105"/>
        <v/>
      </c>
      <c r="J1247" s="391" t="str">
        <f t="shared" si="106"/>
        <v/>
      </c>
      <c r="K1247" s="391" t="str">
        <f t="shared" si="107"/>
        <v/>
      </c>
    </row>
    <row r="1248" spans="8:11">
      <c r="H1248" s="391" t="str">
        <f t="shared" si="104"/>
        <v/>
      </c>
      <c r="I1248" s="391" t="str">
        <f t="shared" si="105"/>
        <v/>
      </c>
      <c r="J1248" s="391" t="str">
        <f t="shared" si="106"/>
        <v/>
      </c>
      <c r="K1248" s="391" t="str">
        <f t="shared" si="107"/>
        <v/>
      </c>
    </row>
    <row r="1249" spans="8:11">
      <c r="H1249" s="391" t="str">
        <f t="shared" si="104"/>
        <v/>
      </c>
      <c r="I1249" s="391" t="str">
        <f t="shared" si="105"/>
        <v/>
      </c>
      <c r="J1249" s="391" t="str">
        <f t="shared" si="106"/>
        <v/>
      </c>
      <c r="K1249" s="391" t="str">
        <f t="shared" si="107"/>
        <v/>
      </c>
    </row>
    <row r="1250" spans="8:11">
      <c r="H1250" s="391" t="str">
        <f t="shared" si="104"/>
        <v/>
      </c>
      <c r="I1250" s="391" t="str">
        <f t="shared" si="105"/>
        <v/>
      </c>
      <c r="J1250" s="391" t="str">
        <f t="shared" si="106"/>
        <v/>
      </c>
      <c r="K1250" s="391" t="str">
        <f t="shared" si="107"/>
        <v/>
      </c>
    </row>
    <row r="1251" spans="8:11">
      <c r="H1251" s="391" t="str">
        <f t="shared" si="104"/>
        <v/>
      </c>
      <c r="I1251" s="391" t="str">
        <f t="shared" si="105"/>
        <v/>
      </c>
      <c r="J1251" s="391" t="str">
        <f t="shared" si="106"/>
        <v/>
      </c>
      <c r="K1251" s="391" t="str">
        <f t="shared" si="107"/>
        <v/>
      </c>
    </row>
    <row r="1252" spans="8:11">
      <c r="H1252" s="391" t="str">
        <f t="shared" si="104"/>
        <v/>
      </c>
      <c r="I1252" s="391" t="str">
        <f t="shared" si="105"/>
        <v/>
      </c>
      <c r="J1252" s="391" t="str">
        <f t="shared" si="106"/>
        <v/>
      </c>
      <c r="K1252" s="391" t="str">
        <f t="shared" si="107"/>
        <v/>
      </c>
    </row>
    <row r="1253" spans="8:11">
      <c r="H1253" s="391" t="str">
        <f t="shared" si="104"/>
        <v/>
      </c>
      <c r="I1253" s="391" t="str">
        <f t="shared" si="105"/>
        <v/>
      </c>
      <c r="J1253" s="391" t="str">
        <f t="shared" si="106"/>
        <v/>
      </c>
      <c r="K1253" s="391" t="str">
        <f t="shared" si="107"/>
        <v/>
      </c>
    </row>
    <row r="1254" spans="8:11">
      <c r="H1254" s="391" t="str">
        <f t="shared" si="104"/>
        <v/>
      </c>
      <c r="I1254" s="391" t="str">
        <f t="shared" si="105"/>
        <v/>
      </c>
      <c r="J1254" s="391" t="str">
        <f t="shared" si="106"/>
        <v/>
      </c>
      <c r="K1254" s="391" t="str">
        <f t="shared" si="107"/>
        <v/>
      </c>
    </row>
    <row r="1255" spans="8:11">
      <c r="H1255" s="391" t="str">
        <f t="shared" si="104"/>
        <v/>
      </c>
      <c r="I1255" s="391" t="str">
        <f t="shared" si="105"/>
        <v/>
      </c>
      <c r="J1255" s="391" t="str">
        <f t="shared" si="106"/>
        <v/>
      </c>
      <c r="K1255" s="391" t="str">
        <f t="shared" si="107"/>
        <v/>
      </c>
    </row>
    <row r="1256" spans="8:11">
      <c r="H1256" s="391" t="str">
        <f t="shared" si="104"/>
        <v/>
      </c>
      <c r="I1256" s="391" t="str">
        <f t="shared" si="105"/>
        <v/>
      </c>
      <c r="J1256" s="391" t="str">
        <f t="shared" si="106"/>
        <v/>
      </c>
      <c r="K1256" s="391" t="str">
        <f t="shared" si="107"/>
        <v/>
      </c>
    </row>
    <row r="1257" spans="8:11">
      <c r="H1257" s="391" t="str">
        <f t="shared" ref="H1257:H1320" si="108">IF($C279="","",ROUND(($B$2*$F279*($B$5/1000))/$B$6,2))</f>
        <v/>
      </c>
      <c r="I1257" s="391" t="str">
        <f t="shared" ref="I1257:I1320" si="109">IF($C279="","",ROUND(($B$3*$F279*($B$5/1000))/$B$6,2))</f>
        <v/>
      </c>
      <c r="J1257" s="391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1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>
      <c r="H1258" s="391" t="str">
        <f t="shared" si="108"/>
        <v/>
      </c>
      <c r="I1258" s="391" t="str">
        <f t="shared" si="109"/>
        <v/>
      </c>
      <c r="J1258" s="391" t="str">
        <f t="shared" si="110"/>
        <v/>
      </c>
      <c r="K1258" s="391" t="str">
        <f t="shared" si="111"/>
        <v/>
      </c>
    </row>
    <row r="1259" spans="8:11">
      <c r="H1259" s="391" t="str">
        <f t="shared" si="108"/>
        <v/>
      </c>
      <c r="I1259" s="391" t="str">
        <f t="shared" si="109"/>
        <v/>
      </c>
      <c r="J1259" s="391" t="str">
        <f t="shared" si="110"/>
        <v/>
      </c>
      <c r="K1259" s="391" t="str">
        <f t="shared" si="111"/>
        <v/>
      </c>
    </row>
    <row r="1260" spans="8:11">
      <c r="H1260" s="391" t="str">
        <f t="shared" si="108"/>
        <v/>
      </c>
      <c r="I1260" s="391" t="str">
        <f t="shared" si="109"/>
        <v/>
      </c>
      <c r="J1260" s="391" t="str">
        <f t="shared" si="110"/>
        <v/>
      </c>
      <c r="K1260" s="391" t="str">
        <f t="shared" si="111"/>
        <v/>
      </c>
    </row>
    <row r="1261" spans="8:11">
      <c r="H1261" s="391" t="str">
        <f t="shared" si="108"/>
        <v/>
      </c>
      <c r="I1261" s="391" t="str">
        <f t="shared" si="109"/>
        <v/>
      </c>
      <c r="J1261" s="391" t="str">
        <f t="shared" si="110"/>
        <v/>
      </c>
      <c r="K1261" s="391" t="str">
        <f t="shared" si="111"/>
        <v/>
      </c>
    </row>
    <row r="1262" spans="8:11">
      <c r="H1262" s="391" t="str">
        <f t="shared" si="108"/>
        <v/>
      </c>
      <c r="I1262" s="391" t="str">
        <f t="shared" si="109"/>
        <v/>
      </c>
      <c r="J1262" s="391" t="str">
        <f t="shared" si="110"/>
        <v/>
      </c>
      <c r="K1262" s="391" t="str">
        <f t="shared" si="111"/>
        <v/>
      </c>
    </row>
    <row r="1263" spans="8:11">
      <c r="H1263" s="391" t="str">
        <f t="shared" si="108"/>
        <v/>
      </c>
      <c r="I1263" s="391" t="str">
        <f t="shared" si="109"/>
        <v/>
      </c>
      <c r="J1263" s="391" t="str">
        <f t="shared" si="110"/>
        <v/>
      </c>
      <c r="K1263" s="391" t="str">
        <f t="shared" si="111"/>
        <v/>
      </c>
    </row>
    <row r="1264" spans="8:11">
      <c r="H1264" s="391" t="str">
        <f t="shared" si="108"/>
        <v/>
      </c>
      <c r="I1264" s="391" t="str">
        <f t="shared" si="109"/>
        <v/>
      </c>
      <c r="J1264" s="391" t="str">
        <f t="shared" si="110"/>
        <v/>
      </c>
      <c r="K1264" s="391" t="str">
        <f t="shared" si="111"/>
        <v/>
      </c>
    </row>
    <row r="1265" spans="8:11">
      <c r="H1265" s="391" t="str">
        <f t="shared" si="108"/>
        <v/>
      </c>
      <c r="I1265" s="391" t="str">
        <f t="shared" si="109"/>
        <v/>
      </c>
      <c r="J1265" s="391" t="str">
        <f t="shared" si="110"/>
        <v/>
      </c>
      <c r="K1265" s="391" t="str">
        <f t="shared" si="111"/>
        <v/>
      </c>
    </row>
    <row r="1266" spans="8:11">
      <c r="H1266" s="391" t="str">
        <f t="shared" si="108"/>
        <v/>
      </c>
      <c r="I1266" s="391" t="str">
        <f t="shared" si="109"/>
        <v/>
      </c>
      <c r="J1266" s="391" t="str">
        <f t="shared" si="110"/>
        <v/>
      </c>
      <c r="K1266" s="391" t="str">
        <f t="shared" si="111"/>
        <v/>
      </c>
    </row>
    <row r="1267" spans="8:11">
      <c r="H1267" s="391" t="str">
        <f t="shared" si="108"/>
        <v/>
      </c>
      <c r="I1267" s="391" t="str">
        <f t="shared" si="109"/>
        <v/>
      </c>
      <c r="J1267" s="391" t="str">
        <f t="shared" si="110"/>
        <v/>
      </c>
      <c r="K1267" s="391" t="str">
        <f t="shared" si="111"/>
        <v/>
      </c>
    </row>
    <row r="1268" spans="8:11">
      <c r="H1268" s="391" t="str">
        <f t="shared" si="108"/>
        <v/>
      </c>
      <c r="I1268" s="391" t="str">
        <f t="shared" si="109"/>
        <v/>
      </c>
      <c r="J1268" s="391" t="str">
        <f t="shared" si="110"/>
        <v/>
      </c>
      <c r="K1268" s="391" t="str">
        <f t="shared" si="111"/>
        <v/>
      </c>
    </row>
    <row r="1269" spans="8:11">
      <c r="H1269" s="391" t="str">
        <f t="shared" si="108"/>
        <v/>
      </c>
      <c r="I1269" s="391" t="str">
        <f t="shared" si="109"/>
        <v/>
      </c>
      <c r="J1269" s="391" t="str">
        <f t="shared" si="110"/>
        <v/>
      </c>
      <c r="K1269" s="391" t="str">
        <f t="shared" si="111"/>
        <v/>
      </c>
    </row>
    <row r="1270" spans="8:11">
      <c r="H1270" s="391" t="str">
        <f t="shared" si="108"/>
        <v/>
      </c>
      <c r="I1270" s="391" t="str">
        <f t="shared" si="109"/>
        <v/>
      </c>
      <c r="J1270" s="391" t="str">
        <f t="shared" si="110"/>
        <v/>
      </c>
      <c r="K1270" s="391" t="str">
        <f t="shared" si="111"/>
        <v/>
      </c>
    </row>
    <row r="1271" spans="8:11">
      <c r="H1271" s="391" t="str">
        <f t="shared" si="108"/>
        <v/>
      </c>
      <c r="I1271" s="391" t="str">
        <f t="shared" si="109"/>
        <v/>
      </c>
      <c r="J1271" s="391" t="str">
        <f t="shared" si="110"/>
        <v/>
      </c>
      <c r="K1271" s="391" t="str">
        <f t="shared" si="111"/>
        <v/>
      </c>
    </row>
    <row r="1272" spans="8:11">
      <c r="H1272" s="391" t="str">
        <f t="shared" si="108"/>
        <v/>
      </c>
      <c r="I1272" s="391" t="str">
        <f t="shared" si="109"/>
        <v/>
      </c>
      <c r="J1272" s="391" t="str">
        <f t="shared" si="110"/>
        <v/>
      </c>
      <c r="K1272" s="391" t="str">
        <f t="shared" si="111"/>
        <v/>
      </c>
    </row>
    <row r="1273" spans="8:11">
      <c r="H1273" s="391" t="str">
        <f t="shared" si="108"/>
        <v/>
      </c>
      <c r="I1273" s="391" t="str">
        <f t="shared" si="109"/>
        <v/>
      </c>
      <c r="J1273" s="391" t="str">
        <f t="shared" si="110"/>
        <v/>
      </c>
      <c r="K1273" s="391" t="str">
        <f t="shared" si="111"/>
        <v/>
      </c>
    </row>
    <row r="1274" spans="8:11">
      <c r="H1274" s="391" t="str">
        <f t="shared" si="108"/>
        <v/>
      </c>
      <c r="I1274" s="391" t="str">
        <f t="shared" si="109"/>
        <v/>
      </c>
      <c r="J1274" s="391" t="str">
        <f t="shared" si="110"/>
        <v/>
      </c>
      <c r="K1274" s="391" t="str">
        <f t="shared" si="111"/>
        <v/>
      </c>
    </row>
    <row r="1275" spans="8:11">
      <c r="H1275" s="391" t="str">
        <f t="shared" si="108"/>
        <v/>
      </c>
      <c r="I1275" s="391" t="str">
        <f t="shared" si="109"/>
        <v/>
      </c>
      <c r="J1275" s="391" t="str">
        <f t="shared" si="110"/>
        <v/>
      </c>
      <c r="K1275" s="391" t="str">
        <f t="shared" si="111"/>
        <v/>
      </c>
    </row>
    <row r="1276" spans="8:11">
      <c r="H1276" s="391" t="str">
        <f t="shared" si="108"/>
        <v/>
      </c>
      <c r="I1276" s="391" t="str">
        <f t="shared" si="109"/>
        <v/>
      </c>
      <c r="J1276" s="391" t="str">
        <f t="shared" si="110"/>
        <v/>
      </c>
      <c r="K1276" s="391" t="str">
        <f t="shared" si="111"/>
        <v/>
      </c>
    </row>
    <row r="1277" spans="8:11">
      <c r="H1277" s="391" t="str">
        <f t="shared" si="108"/>
        <v/>
      </c>
      <c r="I1277" s="391" t="str">
        <f t="shared" si="109"/>
        <v/>
      </c>
      <c r="J1277" s="391" t="str">
        <f t="shared" si="110"/>
        <v/>
      </c>
      <c r="K1277" s="391" t="str">
        <f t="shared" si="111"/>
        <v/>
      </c>
    </row>
    <row r="1278" spans="8:11">
      <c r="H1278" s="391" t="str">
        <f t="shared" si="108"/>
        <v/>
      </c>
      <c r="I1278" s="391" t="str">
        <f t="shared" si="109"/>
        <v/>
      </c>
      <c r="J1278" s="391" t="str">
        <f t="shared" si="110"/>
        <v/>
      </c>
      <c r="K1278" s="391" t="str">
        <f t="shared" si="111"/>
        <v/>
      </c>
    </row>
    <row r="1279" spans="8:11">
      <c r="H1279" s="391" t="str">
        <f t="shared" si="108"/>
        <v/>
      </c>
      <c r="I1279" s="391" t="str">
        <f t="shared" si="109"/>
        <v/>
      </c>
      <c r="J1279" s="391" t="str">
        <f t="shared" si="110"/>
        <v/>
      </c>
      <c r="K1279" s="391" t="str">
        <f t="shared" si="111"/>
        <v/>
      </c>
    </row>
    <row r="1280" spans="8:11">
      <c r="H1280" s="391" t="str">
        <f t="shared" si="108"/>
        <v/>
      </c>
      <c r="I1280" s="391" t="str">
        <f t="shared" si="109"/>
        <v/>
      </c>
      <c r="J1280" s="391" t="str">
        <f t="shared" si="110"/>
        <v/>
      </c>
      <c r="K1280" s="391" t="str">
        <f t="shared" si="111"/>
        <v/>
      </c>
    </row>
    <row r="1281" spans="8:11">
      <c r="H1281" s="391" t="str">
        <f t="shared" si="108"/>
        <v/>
      </c>
      <c r="I1281" s="391" t="str">
        <f t="shared" si="109"/>
        <v/>
      </c>
      <c r="J1281" s="391" t="str">
        <f t="shared" si="110"/>
        <v/>
      </c>
      <c r="K1281" s="391" t="str">
        <f t="shared" si="111"/>
        <v/>
      </c>
    </row>
    <row r="1282" spans="8:11">
      <c r="H1282" s="391" t="str">
        <f t="shared" si="108"/>
        <v/>
      </c>
      <c r="I1282" s="391" t="str">
        <f t="shared" si="109"/>
        <v/>
      </c>
      <c r="J1282" s="391" t="str">
        <f t="shared" si="110"/>
        <v/>
      </c>
      <c r="K1282" s="391" t="str">
        <f t="shared" si="111"/>
        <v/>
      </c>
    </row>
    <row r="1283" spans="8:11">
      <c r="H1283" s="391" t="str">
        <f t="shared" si="108"/>
        <v/>
      </c>
      <c r="I1283" s="391" t="str">
        <f t="shared" si="109"/>
        <v/>
      </c>
      <c r="J1283" s="391" t="str">
        <f t="shared" si="110"/>
        <v/>
      </c>
      <c r="K1283" s="391" t="str">
        <f t="shared" si="111"/>
        <v/>
      </c>
    </row>
    <row r="1284" spans="8:11">
      <c r="H1284" s="391" t="str">
        <f t="shared" si="108"/>
        <v/>
      </c>
      <c r="I1284" s="391" t="str">
        <f t="shared" si="109"/>
        <v/>
      </c>
      <c r="J1284" s="391" t="str">
        <f t="shared" si="110"/>
        <v/>
      </c>
      <c r="K1284" s="391" t="str">
        <f t="shared" si="111"/>
        <v/>
      </c>
    </row>
    <row r="1285" spans="8:11">
      <c r="H1285" s="391" t="str">
        <f t="shared" si="108"/>
        <v/>
      </c>
      <c r="I1285" s="391" t="str">
        <f t="shared" si="109"/>
        <v/>
      </c>
      <c r="J1285" s="391" t="str">
        <f t="shared" si="110"/>
        <v/>
      </c>
      <c r="K1285" s="391" t="str">
        <f t="shared" si="111"/>
        <v/>
      </c>
    </row>
    <row r="1286" spans="8:11">
      <c r="H1286" s="391" t="str">
        <f t="shared" si="108"/>
        <v/>
      </c>
      <c r="I1286" s="391" t="str">
        <f t="shared" si="109"/>
        <v/>
      </c>
      <c r="J1286" s="391" t="str">
        <f t="shared" si="110"/>
        <v/>
      </c>
      <c r="K1286" s="391" t="str">
        <f t="shared" si="111"/>
        <v/>
      </c>
    </row>
    <row r="1287" spans="8:11">
      <c r="H1287" s="391" t="str">
        <f t="shared" si="108"/>
        <v/>
      </c>
      <c r="I1287" s="391" t="str">
        <f t="shared" si="109"/>
        <v/>
      </c>
      <c r="J1287" s="391" t="str">
        <f t="shared" si="110"/>
        <v/>
      </c>
      <c r="K1287" s="391" t="str">
        <f t="shared" si="111"/>
        <v/>
      </c>
    </row>
    <row r="1288" spans="8:11">
      <c r="H1288" s="391" t="str">
        <f t="shared" si="108"/>
        <v/>
      </c>
      <c r="I1288" s="391" t="str">
        <f t="shared" si="109"/>
        <v/>
      </c>
      <c r="J1288" s="391" t="str">
        <f t="shared" si="110"/>
        <v/>
      </c>
      <c r="K1288" s="391" t="str">
        <f t="shared" si="111"/>
        <v/>
      </c>
    </row>
    <row r="1289" spans="8:11">
      <c r="H1289" s="391" t="str">
        <f t="shared" si="108"/>
        <v/>
      </c>
      <c r="I1289" s="391" t="str">
        <f t="shared" si="109"/>
        <v/>
      </c>
      <c r="J1289" s="391" t="str">
        <f t="shared" si="110"/>
        <v/>
      </c>
      <c r="K1289" s="391" t="str">
        <f t="shared" si="111"/>
        <v/>
      </c>
    </row>
    <row r="1290" spans="8:11">
      <c r="H1290" s="391" t="str">
        <f t="shared" si="108"/>
        <v/>
      </c>
      <c r="I1290" s="391" t="str">
        <f t="shared" si="109"/>
        <v/>
      </c>
      <c r="J1290" s="391" t="str">
        <f t="shared" si="110"/>
        <v/>
      </c>
      <c r="K1290" s="391" t="str">
        <f t="shared" si="111"/>
        <v/>
      </c>
    </row>
    <row r="1291" spans="8:11">
      <c r="H1291" s="391" t="str">
        <f t="shared" si="108"/>
        <v/>
      </c>
      <c r="I1291" s="391" t="str">
        <f t="shared" si="109"/>
        <v/>
      </c>
      <c r="J1291" s="391" t="str">
        <f t="shared" si="110"/>
        <v/>
      </c>
      <c r="K1291" s="391" t="str">
        <f t="shared" si="111"/>
        <v/>
      </c>
    </row>
    <row r="1292" spans="8:11">
      <c r="H1292" s="391" t="str">
        <f t="shared" si="108"/>
        <v/>
      </c>
      <c r="I1292" s="391" t="str">
        <f t="shared" si="109"/>
        <v/>
      </c>
      <c r="J1292" s="391" t="str">
        <f t="shared" si="110"/>
        <v/>
      </c>
      <c r="K1292" s="391" t="str">
        <f t="shared" si="111"/>
        <v/>
      </c>
    </row>
    <row r="1293" spans="8:11">
      <c r="H1293" s="391" t="str">
        <f t="shared" si="108"/>
        <v/>
      </c>
      <c r="I1293" s="391" t="str">
        <f t="shared" si="109"/>
        <v/>
      </c>
      <c r="J1293" s="391" t="str">
        <f t="shared" si="110"/>
        <v/>
      </c>
      <c r="K1293" s="391" t="str">
        <f t="shared" si="111"/>
        <v/>
      </c>
    </row>
    <row r="1294" spans="8:11">
      <c r="H1294" s="391" t="str">
        <f t="shared" si="108"/>
        <v/>
      </c>
      <c r="I1294" s="391" t="str">
        <f t="shared" si="109"/>
        <v/>
      </c>
      <c r="J1294" s="391" t="str">
        <f t="shared" si="110"/>
        <v/>
      </c>
      <c r="K1294" s="391" t="str">
        <f t="shared" si="111"/>
        <v/>
      </c>
    </row>
    <row r="1295" spans="8:11">
      <c r="H1295" s="391" t="str">
        <f t="shared" si="108"/>
        <v/>
      </c>
      <c r="I1295" s="391" t="str">
        <f t="shared" si="109"/>
        <v/>
      </c>
      <c r="J1295" s="391" t="str">
        <f t="shared" si="110"/>
        <v/>
      </c>
      <c r="K1295" s="391" t="str">
        <f t="shared" si="111"/>
        <v/>
      </c>
    </row>
    <row r="1296" spans="8:11">
      <c r="H1296" s="391" t="str">
        <f t="shared" si="108"/>
        <v/>
      </c>
      <c r="I1296" s="391" t="str">
        <f t="shared" si="109"/>
        <v/>
      </c>
      <c r="J1296" s="391" t="str">
        <f t="shared" si="110"/>
        <v/>
      </c>
      <c r="K1296" s="391" t="str">
        <f t="shared" si="111"/>
        <v/>
      </c>
    </row>
    <row r="1297" spans="8:11">
      <c r="H1297" s="391" t="str">
        <f t="shared" si="108"/>
        <v/>
      </c>
      <c r="I1297" s="391" t="str">
        <f t="shared" si="109"/>
        <v/>
      </c>
      <c r="J1297" s="391" t="str">
        <f t="shared" si="110"/>
        <v/>
      </c>
      <c r="K1297" s="391" t="str">
        <f t="shared" si="111"/>
        <v/>
      </c>
    </row>
    <row r="1298" spans="8:11">
      <c r="H1298" s="391" t="str">
        <f t="shared" si="108"/>
        <v/>
      </c>
      <c r="I1298" s="391" t="str">
        <f t="shared" si="109"/>
        <v/>
      </c>
      <c r="J1298" s="391" t="str">
        <f t="shared" si="110"/>
        <v/>
      </c>
      <c r="K1298" s="391" t="str">
        <f t="shared" si="111"/>
        <v/>
      </c>
    </row>
    <row r="1299" spans="8:11">
      <c r="H1299" s="391" t="str">
        <f t="shared" si="108"/>
        <v/>
      </c>
      <c r="I1299" s="391" t="str">
        <f t="shared" si="109"/>
        <v/>
      </c>
      <c r="J1299" s="391" t="str">
        <f t="shared" si="110"/>
        <v/>
      </c>
      <c r="K1299" s="391" t="str">
        <f t="shared" si="111"/>
        <v/>
      </c>
    </row>
    <row r="1300" spans="8:11">
      <c r="H1300" s="391" t="str">
        <f t="shared" si="108"/>
        <v/>
      </c>
      <c r="I1300" s="391" t="str">
        <f t="shared" si="109"/>
        <v/>
      </c>
      <c r="J1300" s="391" t="str">
        <f t="shared" si="110"/>
        <v/>
      </c>
      <c r="K1300" s="391" t="str">
        <f t="shared" si="111"/>
        <v/>
      </c>
    </row>
    <row r="1301" spans="8:11">
      <c r="H1301" s="391" t="str">
        <f t="shared" si="108"/>
        <v/>
      </c>
      <c r="I1301" s="391" t="str">
        <f t="shared" si="109"/>
        <v/>
      </c>
      <c r="J1301" s="391" t="str">
        <f t="shared" si="110"/>
        <v/>
      </c>
      <c r="K1301" s="391" t="str">
        <f t="shared" si="111"/>
        <v/>
      </c>
    </row>
    <row r="1302" spans="8:11">
      <c r="H1302" s="391" t="str">
        <f t="shared" si="108"/>
        <v/>
      </c>
      <c r="I1302" s="391" t="str">
        <f t="shared" si="109"/>
        <v/>
      </c>
      <c r="J1302" s="391" t="str">
        <f t="shared" si="110"/>
        <v/>
      </c>
      <c r="K1302" s="391" t="str">
        <f t="shared" si="111"/>
        <v/>
      </c>
    </row>
    <row r="1303" spans="8:11">
      <c r="H1303" s="391" t="str">
        <f t="shared" si="108"/>
        <v/>
      </c>
      <c r="I1303" s="391" t="str">
        <f t="shared" si="109"/>
        <v/>
      </c>
      <c r="J1303" s="391" t="str">
        <f t="shared" si="110"/>
        <v/>
      </c>
      <c r="K1303" s="391" t="str">
        <f t="shared" si="111"/>
        <v/>
      </c>
    </row>
    <row r="1304" spans="8:11">
      <c r="H1304" s="391" t="str">
        <f t="shared" si="108"/>
        <v/>
      </c>
      <c r="I1304" s="391" t="str">
        <f t="shared" si="109"/>
        <v/>
      </c>
      <c r="J1304" s="391" t="str">
        <f t="shared" si="110"/>
        <v/>
      </c>
      <c r="K1304" s="391" t="str">
        <f t="shared" si="111"/>
        <v/>
      </c>
    </row>
    <row r="1305" spans="8:11">
      <c r="H1305" s="391" t="str">
        <f t="shared" si="108"/>
        <v/>
      </c>
      <c r="I1305" s="391" t="str">
        <f t="shared" si="109"/>
        <v/>
      </c>
      <c r="J1305" s="391" t="str">
        <f t="shared" si="110"/>
        <v/>
      </c>
      <c r="K1305" s="391" t="str">
        <f t="shared" si="111"/>
        <v/>
      </c>
    </row>
    <row r="1306" spans="8:11">
      <c r="H1306" s="391" t="str">
        <f t="shared" si="108"/>
        <v/>
      </c>
      <c r="I1306" s="391" t="str">
        <f t="shared" si="109"/>
        <v/>
      </c>
      <c r="J1306" s="391" t="str">
        <f t="shared" si="110"/>
        <v/>
      </c>
      <c r="K1306" s="391" t="str">
        <f t="shared" si="111"/>
        <v/>
      </c>
    </row>
    <row r="1307" spans="8:11">
      <c r="H1307" s="391" t="str">
        <f t="shared" si="108"/>
        <v/>
      </c>
      <c r="I1307" s="391" t="str">
        <f t="shared" si="109"/>
        <v/>
      </c>
      <c r="J1307" s="391" t="str">
        <f t="shared" si="110"/>
        <v/>
      </c>
      <c r="K1307" s="391" t="str">
        <f t="shared" si="111"/>
        <v/>
      </c>
    </row>
    <row r="1308" spans="8:11">
      <c r="H1308" s="391" t="str">
        <f t="shared" si="108"/>
        <v/>
      </c>
      <c r="I1308" s="391" t="str">
        <f t="shared" si="109"/>
        <v/>
      </c>
      <c r="J1308" s="391" t="str">
        <f t="shared" si="110"/>
        <v/>
      </c>
      <c r="K1308" s="391" t="str">
        <f t="shared" si="111"/>
        <v/>
      </c>
    </row>
    <row r="1309" spans="8:11">
      <c r="H1309" s="391" t="str">
        <f t="shared" si="108"/>
        <v/>
      </c>
      <c r="I1309" s="391" t="str">
        <f t="shared" si="109"/>
        <v/>
      </c>
      <c r="J1309" s="391" t="str">
        <f t="shared" si="110"/>
        <v/>
      </c>
      <c r="K1309" s="391" t="str">
        <f t="shared" si="111"/>
        <v/>
      </c>
    </row>
    <row r="1310" spans="8:11">
      <c r="H1310" s="391" t="str">
        <f t="shared" si="108"/>
        <v/>
      </c>
      <c r="I1310" s="391" t="str">
        <f t="shared" si="109"/>
        <v/>
      </c>
      <c r="J1310" s="391" t="str">
        <f t="shared" si="110"/>
        <v/>
      </c>
      <c r="K1310" s="391" t="str">
        <f t="shared" si="111"/>
        <v/>
      </c>
    </row>
    <row r="1311" spans="8:11">
      <c r="H1311" s="391" t="str">
        <f t="shared" si="108"/>
        <v/>
      </c>
      <c r="I1311" s="391" t="str">
        <f t="shared" si="109"/>
        <v/>
      </c>
      <c r="J1311" s="391" t="str">
        <f t="shared" si="110"/>
        <v/>
      </c>
      <c r="K1311" s="391" t="str">
        <f t="shared" si="111"/>
        <v/>
      </c>
    </row>
    <row r="1312" spans="8:11">
      <c r="H1312" s="391" t="str">
        <f t="shared" si="108"/>
        <v/>
      </c>
      <c r="I1312" s="391" t="str">
        <f t="shared" si="109"/>
        <v/>
      </c>
      <c r="J1312" s="391" t="str">
        <f t="shared" si="110"/>
        <v/>
      </c>
      <c r="K1312" s="391" t="str">
        <f t="shared" si="111"/>
        <v/>
      </c>
    </row>
    <row r="1313" spans="8:11">
      <c r="H1313" s="391" t="str">
        <f t="shared" si="108"/>
        <v/>
      </c>
      <c r="I1313" s="391" t="str">
        <f t="shared" si="109"/>
        <v/>
      </c>
      <c r="J1313" s="391" t="str">
        <f t="shared" si="110"/>
        <v/>
      </c>
      <c r="K1313" s="391" t="str">
        <f t="shared" si="111"/>
        <v/>
      </c>
    </row>
    <row r="1314" spans="8:11">
      <c r="H1314" s="391" t="str">
        <f t="shared" si="108"/>
        <v/>
      </c>
      <c r="I1314" s="391" t="str">
        <f t="shared" si="109"/>
        <v/>
      </c>
      <c r="J1314" s="391" t="str">
        <f t="shared" si="110"/>
        <v/>
      </c>
      <c r="K1314" s="391" t="str">
        <f t="shared" si="111"/>
        <v/>
      </c>
    </row>
    <row r="1315" spans="8:11">
      <c r="H1315" s="391" t="str">
        <f t="shared" si="108"/>
        <v/>
      </c>
      <c r="I1315" s="391" t="str">
        <f t="shared" si="109"/>
        <v/>
      </c>
      <c r="J1315" s="391" t="str">
        <f t="shared" si="110"/>
        <v/>
      </c>
      <c r="K1315" s="391" t="str">
        <f t="shared" si="111"/>
        <v/>
      </c>
    </row>
    <row r="1316" spans="8:11">
      <c r="H1316" s="391" t="str">
        <f t="shared" si="108"/>
        <v/>
      </c>
      <c r="I1316" s="391" t="str">
        <f t="shared" si="109"/>
        <v/>
      </c>
      <c r="J1316" s="391" t="str">
        <f t="shared" si="110"/>
        <v/>
      </c>
      <c r="K1316" s="391" t="str">
        <f t="shared" si="111"/>
        <v/>
      </c>
    </row>
    <row r="1317" spans="8:11">
      <c r="H1317" s="391" t="str">
        <f t="shared" si="108"/>
        <v/>
      </c>
      <c r="I1317" s="391" t="str">
        <f t="shared" si="109"/>
        <v/>
      </c>
      <c r="J1317" s="391" t="str">
        <f t="shared" si="110"/>
        <v/>
      </c>
      <c r="K1317" s="391" t="str">
        <f t="shared" si="111"/>
        <v/>
      </c>
    </row>
    <row r="1318" spans="8:11">
      <c r="H1318" s="391" t="str">
        <f t="shared" si="108"/>
        <v/>
      </c>
      <c r="I1318" s="391" t="str">
        <f t="shared" si="109"/>
        <v/>
      </c>
      <c r="J1318" s="391" t="str">
        <f t="shared" si="110"/>
        <v/>
      </c>
      <c r="K1318" s="391" t="str">
        <f t="shared" si="111"/>
        <v/>
      </c>
    </row>
    <row r="1319" spans="8:11">
      <c r="H1319" s="391" t="str">
        <f t="shared" si="108"/>
        <v/>
      </c>
      <c r="I1319" s="391" t="str">
        <f t="shared" si="109"/>
        <v/>
      </c>
      <c r="J1319" s="391" t="str">
        <f t="shared" si="110"/>
        <v/>
      </c>
      <c r="K1319" s="391" t="str">
        <f t="shared" si="111"/>
        <v/>
      </c>
    </row>
    <row r="1320" spans="8:11">
      <c r="H1320" s="391" t="str">
        <f t="shared" si="108"/>
        <v/>
      </c>
      <c r="I1320" s="391" t="str">
        <f t="shared" si="109"/>
        <v/>
      </c>
      <c r="J1320" s="391" t="str">
        <f t="shared" si="110"/>
        <v/>
      </c>
      <c r="K1320" s="391" t="str">
        <f t="shared" si="111"/>
        <v/>
      </c>
    </row>
    <row r="1321" spans="8:11">
      <c r="H1321" s="391" t="str">
        <f t="shared" ref="H1321:H1384" si="112">IF($C343="","",ROUND(($B$2*$F343*($B$5/1000))/$B$6,2))</f>
        <v/>
      </c>
      <c r="I1321" s="391" t="str">
        <f t="shared" ref="I1321:I1384" si="113">IF($C343="","",ROUND(($B$3*$F343*($B$5/1000))/$B$6,2))</f>
        <v/>
      </c>
      <c r="J1321" s="391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1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>
      <c r="H1322" s="391" t="str">
        <f t="shared" si="112"/>
        <v/>
      </c>
      <c r="I1322" s="391" t="str">
        <f t="shared" si="113"/>
        <v/>
      </c>
      <c r="J1322" s="391" t="str">
        <f t="shared" si="114"/>
        <v/>
      </c>
      <c r="K1322" s="391" t="str">
        <f t="shared" si="115"/>
        <v/>
      </c>
    </row>
    <row r="1323" spans="8:11">
      <c r="H1323" s="391" t="str">
        <f t="shared" si="112"/>
        <v/>
      </c>
      <c r="I1323" s="391" t="str">
        <f t="shared" si="113"/>
        <v/>
      </c>
      <c r="J1323" s="391" t="str">
        <f t="shared" si="114"/>
        <v/>
      </c>
      <c r="K1323" s="391" t="str">
        <f t="shared" si="115"/>
        <v/>
      </c>
    </row>
    <row r="1324" spans="8:11">
      <c r="H1324" s="391" t="str">
        <f t="shared" si="112"/>
        <v/>
      </c>
      <c r="I1324" s="391" t="str">
        <f t="shared" si="113"/>
        <v/>
      </c>
      <c r="J1324" s="391" t="str">
        <f t="shared" si="114"/>
        <v/>
      </c>
      <c r="K1324" s="391" t="str">
        <f t="shared" si="115"/>
        <v/>
      </c>
    </row>
    <row r="1325" spans="8:11">
      <c r="H1325" s="391" t="str">
        <f t="shared" si="112"/>
        <v/>
      </c>
      <c r="I1325" s="391" t="str">
        <f t="shared" si="113"/>
        <v/>
      </c>
      <c r="J1325" s="391" t="str">
        <f t="shared" si="114"/>
        <v/>
      </c>
      <c r="K1325" s="391" t="str">
        <f t="shared" si="115"/>
        <v/>
      </c>
    </row>
    <row r="1326" spans="8:11">
      <c r="H1326" s="391" t="str">
        <f t="shared" si="112"/>
        <v/>
      </c>
      <c r="I1326" s="391" t="str">
        <f t="shared" si="113"/>
        <v/>
      </c>
      <c r="J1326" s="391" t="str">
        <f t="shared" si="114"/>
        <v/>
      </c>
      <c r="K1326" s="391" t="str">
        <f t="shared" si="115"/>
        <v/>
      </c>
    </row>
    <row r="1327" spans="8:11">
      <c r="H1327" s="391" t="str">
        <f t="shared" si="112"/>
        <v/>
      </c>
      <c r="I1327" s="391" t="str">
        <f t="shared" si="113"/>
        <v/>
      </c>
      <c r="J1327" s="391" t="str">
        <f t="shared" si="114"/>
        <v/>
      </c>
      <c r="K1327" s="391" t="str">
        <f t="shared" si="115"/>
        <v/>
      </c>
    </row>
    <row r="1328" spans="8:11">
      <c r="H1328" s="391" t="str">
        <f t="shared" si="112"/>
        <v/>
      </c>
      <c r="I1328" s="391" t="str">
        <f t="shared" si="113"/>
        <v/>
      </c>
      <c r="J1328" s="391" t="str">
        <f t="shared" si="114"/>
        <v/>
      </c>
      <c r="K1328" s="391" t="str">
        <f t="shared" si="115"/>
        <v/>
      </c>
    </row>
    <row r="1329" spans="8:11">
      <c r="H1329" s="391" t="str">
        <f t="shared" si="112"/>
        <v/>
      </c>
      <c r="I1329" s="391" t="str">
        <f t="shared" si="113"/>
        <v/>
      </c>
      <c r="J1329" s="391" t="str">
        <f t="shared" si="114"/>
        <v/>
      </c>
      <c r="K1329" s="391" t="str">
        <f t="shared" si="115"/>
        <v/>
      </c>
    </row>
    <row r="1330" spans="8:11">
      <c r="H1330" s="391" t="str">
        <f t="shared" si="112"/>
        <v/>
      </c>
      <c r="I1330" s="391" t="str">
        <f t="shared" si="113"/>
        <v/>
      </c>
      <c r="J1330" s="391" t="str">
        <f t="shared" si="114"/>
        <v/>
      </c>
      <c r="K1330" s="391" t="str">
        <f t="shared" si="115"/>
        <v/>
      </c>
    </row>
    <row r="1331" spans="8:11">
      <c r="H1331" s="391" t="str">
        <f t="shared" si="112"/>
        <v/>
      </c>
      <c r="I1331" s="391" t="str">
        <f t="shared" si="113"/>
        <v/>
      </c>
      <c r="J1331" s="391" t="str">
        <f t="shared" si="114"/>
        <v/>
      </c>
      <c r="K1331" s="391" t="str">
        <f t="shared" si="115"/>
        <v/>
      </c>
    </row>
    <row r="1332" spans="8:11">
      <c r="H1332" s="391" t="str">
        <f t="shared" si="112"/>
        <v/>
      </c>
      <c r="I1332" s="391" t="str">
        <f t="shared" si="113"/>
        <v/>
      </c>
      <c r="J1332" s="391" t="str">
        <f t="shared" si="114"/>
        <v/>
      </c>
      <c r="K1332" s="391" t="str">
        <f t="shared" si="115"/>
        <v/>
      </c>
    </row>
    <row r="1333" spans="8:11">
      <c r="H1333" s="391" t="str">
        <f t="shared" si="112"/>
        <v/>
      </c>
      <c r="I1333" s="391" t="str">
        <f t="shared" si="113"/>
        <v/>
      </c>
      <c r="J1333" s="391" t="str">
        <f t="shared" si="114"/>
        <v/>
      </c>
      <c r="K1333" s="391" t="str">
        <f t="shared" si="115"/>
        <v/>
      </c>
    </row>
    <row r="1334" spans="8:11">
      <c r="H1334" s="391" t="str">
        <f t="shared" si="112"/>
        <v/>
      </c>
      <c r="I1334" s="391" t="str">
        <f t="shared" si="113"/>
        <v/>
      </c>
      <c r="J1334" s="391" t="str">
        <f t="shared" si="114"/>
        <v/>
      </c>
      <c r="K1334" s="391" t="str">
        <f t="shared" si="115"/>
        <v/>
      </c>
    </row>
    <row r="1335" spans="8:11">
      <c r="H1335" s="391" t="str">
        <f t="shared" si="112"/>
        <v/>
      </c>
      <c r="I1335" s="391" t="str">
        <f t="shared" si="113"/>
        <v/>
      </c>
      <c r="J1335" s="391" t="str">
        <f t="shared" si="114"/>
        <v/>
      </c>
      <c r="K1335" s="391" t="str">
        <f t="shared" si="115"/>
        <v/>
      </c>
    </row>
    <row r="1336" spans="8:11">
      <c r="H1336" s="391" t="str">
        <f t="shared" si="112"/>
        <v/>
      </c>
      <c r="I1336" s="391" t="str">
        <f t="shared" si="113"/>
        <v/>
      </c>
      <c r="J1336" s="391" t="str">
        <f t="shared" si="114"/>
        <v/>
      </c>
      <c r="K1336" s="391" t="str">
        <f t="shared" si="115"/>
        <v/>
      </c>
    </row>
    <row r="1337" spans="8:11">
      <c r="H1337" s="391" t="str">
        <f t="shared" si="112"/>
        <v/>
      </c>
      <c r="I1337" s="391" t="str">
        <f t="shared" si="113"/>
        <v/>
      </c>
      <c r="J1337" s="391" t="str">
        <f t="shared" si="114"/>
        <v/>
      </c>
      <c r="K1337" s="391" t="str">
        <f t="shared" si="115"/>
        <v/>
      </c>
    </row>
    <row r="1338" spans="8:11">
      <c r="H1338" s="391" t="str">
        <f t="shared" si="112"/>
        <v/>
      </c>
      <c r="I1338" s="391" t="str">
        <f t="shared" si="113"/>
        <v/>
      </c>
      <c r="J1338" s="391" t="str">
        <f t="shared" si="114"/>
        <v/>
      </c>
      <c r="K1338" s="391" t="str">
        <f t="shared" si="115"/>
        <v/>
      </c>
    </row>
    <row r="1339" spans="8:11">
      <c r="H1339" s="391" t="str">
        <f t="shared" si="112"/>
        <v/>
      </c>
      <c r="I1339" s="391" t="str">
        <f t="shared" si="113"/>
        <v/>
      </c>
      <c r="J1339" s="391" t="str">
        <f t="shared" si="114"/>
        <v/>
      </c>
      <c r="K1339" s="391" t="str">
        <f t="shared" si="115"/>
        <v/>
      </c>
    </row>
    <row r="1340" spans="8:11">
      <c r="H1340" s="391" t="str">
        <f t="shared" si="112"/>
        <v/>
      </c>
      <c r="I1340" s="391" t="str">
        <f t="shared" si="113"/>
        <v/>
      </c>
      <c r="J1340" s="391" t="str">
        <f t="shared" si="114"/>
        <v/>
      </c>
      <c r="K1340" s="391" t="str">
        <f t="shared" si="115"/>
        <v/>
      </c>
    </row>
    <row r="1341" spans="8:11">
      <c r="H1341" s="391" t="str">
        <f t="shared" si="112"/>
        <v/>
      </c>
      <c r="I1341" s="391" t="str">
        <f t="shared" si="113"/>
        <v/>
      </c>
      <c r="J1341" s="391" t="str">
        <f t="shared" si="114"/>
        <v/>
      </c>
      <c r="K1341" s="391" t="str">
        <f t="shared" si="115"/>
        <v/>
      </c>
    </row>
    <row r="1342" spans="8:11">
      <c r="H1342" s="391" t="str">
        <f t="shared" si="112"/>
        <v/>
      </c>
      <c r="I1342" s="391" t="str">
        <f t="shared" si="113"/>
        <v/>
      </c>
      <c r="J1342" s="391" t="str">
        <f t="shared" si="114"/>
        <v/>
      </c>
      <c r="K1342" s="391" t="str">
        <f t="shared" si="115"/>
        <v/>
      </c>
    </row>
    <row r="1343" spans="8:11">
      <c r="H1343" s="391" t="str">
        <f t="shared" si="112"/>
        <v/>
      </c>
      <c r="I1343" s="391" t="str">
        <f t="shared" si="113"/>
        <v/>
      </c>
      <c r="J1343" s="391" t="str">
        <f t="shared" si="114"/>
        <v/>
      </c>
      <c r="K1343" s="391" t="str">
        <f t="shared" si="115"/>
        <v/>
      </c>
    </row>
    <row r="1344" spans="8:11">
      <c r="H1344" s="391" t="str">
        <f t="shared" si="112"/>
        <v/>
      </c>
      <c r="I1344" s="391" t="str">
        <f t="shared" si="113"/>
        <v/>
      </c>
      <c r="J1344" s="391" t="str">
        <f t="shared" si="114"/>
        <v/>
      </c>
      <c r="K1344" s="391" t="str">
        <f t="shared" si="115"/>
        <v/>
      </c>
    </row>
    <row r="1345" spans="8:11">
      <c r="H1345" s="391" t="str">
        <f t="shared" si="112"/>
        <v/>
      </c>
      <c r="I1345" s="391" t="str">
        <f t="shared" si="113"/>
        <v/>
      </c>
      <c r="J1345" s="391" t="str">
        <f t="shared" si="114"/>
        <v/>
      </c>
      <c r="K1345" s="391" t="str">
        <f t="shared" si="115"/>
        <v/>
      </c>
    </row>
    <row r="1346" spans="8:11">
      <c r="H1346" s="391" t="str">
        <f t="shared" si="112"/>
        <v/>
      </c>
      <c r="I1346" s="391" t="str">
        <f t="shared" si="113"/>
        <v/>
      </c>
      <c r="J1346" s="391" t="str">
        <f t="shared" si="114"/>
        <v/>
      </c>
      <c r="K1346" s="391" t="str">
        <f t="shared" si="115"/>
        <v/>
      </c>
    </row>
    <row r="1347" spans="8:11">
      <c r="H1347" s="391" t="str">
        <f t="shared" si="112"/>
        <v/>
      </c>
      <c r="I1347" s="391" t="str">
        <f t="shared" si="113"/>
        <v/>
      </c>
      <c r="J1347" s="391" t="str">
        <f t="shared" si="114"/>
        <v/>
      </c>
      <c r="K1347" s="391" t="str">
        <f t="shared" si="115"/>
        <v/>
      </c>
    </row>
    <row r="1348" spans="8:11">
      <c r="H1348" s="391" t="str">
        <f t="shared" si="112"/>
        <v/>
      </c>
      <c r="I1348" s="391" t="str">
        <f t="shared" si="113"/>
        <v/>
      </c>
      <c r="J1348" s="391" t="str">
        <f t="shared" si="114"/>
        <v/>
      </c>
      <c r="K1348" s="391" t="str">
        <f t="shared" si="115"/>
        <v/>
      </c>
    </row>
    <row r="1349" spans="8:11">
      <c r="H1349" s="391" t="str">
        <f t="shared" si="112"/>
        <v/>
      </c>
      <c r="I1349" s="391" t="str">
        <f t="shared" si="113"/>
        <v/>
      </c>
      <c r="J1349" s="391" t="str">
        <f t="shared" si="114"/>
        <v/>
      </c>
      <c r="K1349" s="391" t="str">
        <f t="shared" si="115"/>
        <v/>
      </c>
    </row>
    <row r="1350" spans="8:11">
      <c r="H1350" s="391" t="str">
        <f t="shared" si="112"/>
        <v/>
      </c>
      <c r="I1350" s="391" t="str">
        <f t="shared" si="113"/>
        <v/>
      </c>
      <c r="J1350" s="391" t="str">
        <f t="shared" si="114"/>
        <v/>
      </c>
      <c r="K1350" s="391" t="str">
        <f t="shared" si="115"/>
        <v/>
      </c>
    </row>
    <row r="1351" spans="8:11">
      <c r="H1351" s="391" t="str">
        <f t="shared" si="112"/>
        <v/>
      </c>
      <c r="I1351" s="391" t="str">
        <f t="shared" si="113"/>
        <v/>
      </c>
      <c r="J1351" s="391" t="str">
        <f t="shared" si="114"/>
        <v/>
      </c>
      <c r="K1351" s="391" t="str">
        <f t="shared" si="115"/>
        <v/>
      </c>
    </row>
    <row r="1352" spans="8:11">
      <c r="H1352" s="391" t="str">
        <f t="shared" si="112"/>
        <v/>
      </c>
      <c r="I1352" s="391" t="str">
        <f t="shared" si="113"/>
        <v/>
      </c>
      <c r="J1352" s="391" t="str">
        <f t="shared" si="114"/>
        <v/>
      </c>
      <c r="K1352" s="391" t="str">
        <f t="shared" si="115"/>
        <v/>
      </c>
    </row>
    <row r="1353" spans="8:11">
      <c r="H1353" s="391" t="str">
        <f t="shared" si="112"/>
        <v/>
      </c>
      <c r="I1353" s="391" t="str">
        <f t="shared" si="113"/>
        <v/>
      </c>
      <c r="J1353" s="391" t="str">
        <f t="shared" si="114"/>
        <v/>
      </c>
      <c r="K1353" s="391" t="str">
        <f t="shared" si="115"/>
        <v/>
      </c>
    </row>
    <row r="1354" spans="8:11">
      <c r="H1354" s="391" t="str">
        <f t="shared" si="112"/>
        <v/>
      </c>
      <c r="I1354" s="391" t="str">
        <f t="shared" si="113"/>
        <v/>
      </c>
      <c r="J1354" s="391" t="str">
        <f t="shared" si="114"/>
        <v/>
      </c>
      <c r="K1354" s="391" t="str">
        <f t="shared" si="115"/>
        <v/>
      </c>
    </row>
    <row r="1355" spans="8:11">
      <c r="H1355" s="391" t="str">
        <f t="shared" si="112"/>
        <v/>
      </c>
      <c r="I1355" s="391" t="str">
        <f t="shared" si="113"/>
        <v/>
      </c>
      <c r="J1355" s="391" t="str">
        <f t="shared" si="114"/>
        <v/>
      </c>
      <c r="K1355" s="391" t="str">
        <f t="shared" si="115"/>
        <v/>
      </c>
    </row>
    <row r="1356" spans="8:11">
      <c r="H1356" s="391" t="str">
        <f t="shared" si="112"/>
        <v/>
      </c>
      <c r="I1356" s="391" t="str">
        <f t="shared" si="113"/>
        <v/>
      </c>
      <c r="J1356" s="391" t="str">
        <f t="shared" si="114"/>
        <v/>
      </c>
      <c r="K1356" s="391" t="str">
        <f t="shared" si="115"/>
        <v/>
      </c>
    </row>
    <row r="1357" spans="8:11">
      <c r="H1357" s="391" t="str">
        <f t="shared" si="112"/>
        <v/>
      </c>
      <c r="I1357" s="391" t="str">
        <f t="shared" si="113"/>
        <v/>
      </c>
      <c r="J1357" s="391" t="str">
        <f t="shared" si="114"/>
        <v/>
      </c>
      <c r="K1357" s="391" t="str">
        <f t="shared" si="115"/>
        <v/>
      </c>
    </row>
    <row r="1358" spans="8:11">
      <c r="H1358" s="391" t="str">
        <f t="shared" si="112"/>
        <v/>
      </c>
      <c r="I1358" s="391" t="str">
        <f t="shared" si="113"/>
        <v/>
      </c>
      <c r="J1358" s="391" t="str">
        <f t="shared" si="114"/>
        <v/>
      </c>
      <c r="K1358" s="391" t="str">
        <f t="shared" si="115"/>
        <v/>
      </c>
    </row>
    <row r="1359" spans="8:11">
      <c r="H1359" s="391" t="str">
        <f t="shared" si="112"/>
        <v/>
      </c>
      <c r="I1359" s="391" t="str">
        <f t="shared" si="113"/>
        <v/>
      </c>
      <c r="J1359" s="391" t="str">
        <f t="shared" si="114"/>
        <v/>
      </c>
      <c r="K1359" s="391" t="str">
        <f t="shared" si="115"/>
        <v/>
      </c>
    </row>
    <row r="1360" spans="8:11">
      <c r="H1360" s="391" t="str">
        <f t="shared" si="112"/>
        <v/>
      </c>
      <c r="I1360" s="391" t="str">
        <f t="shared" si="113"/>
        <v/>
      </c>
      <c r="J1360" s="391" t="str">
        <f t="shared" si="114"/>
        <v/>
      </c>
      <c r="K1360" s="391" t="str">
        <f t="shared" si="115"/>
        <v/>
      </c>
    </row>
    <row r="1361" spans="8:11">
      <c r="H1361" s="391" t="str">
        <f t="shared" si="112"/>
        <v/>
      </c>
      <c r="I1361" s="391" t="str">
        <f t="shared" si="113"/>
        <v/>
      </c>
      <c r="J1361" s="391" t="str">
        <f t="shared" si="114"/>
        <v/>
      </c>
      <c r="K1361" s="391" t="str">
        <f t="shared" si="115"/>
        <v/>
      </c>
    </row>
    <row r="1362" spans="8:11">
      <c r="H1362" s="391" t="str">
        <f t="shared" si="112"/>
        <v/>
      </c>
      <c r="I1362" s="391" t="str">
        <f t="shared" si="113"/>
        <v/>
      </c>
      <c r="J1362" s="391" t="str">
        <f t="shared" si="114"/>
        <v/>
      </c>
      <c r="K1362" s="391" t="str">
        <f t="shared" si="115"/>
        <v/>
      </c>
    </row>
    <row r="1363" spans="8:11">
      <c r="H1363" s="391" t="str">
        <f t="shared" si="112"/>
        <v/>
      </c>
      <c r="I1363" s="391" t="str">
        <f t="shared" si="113"/>
        <v/>
      </c>
      <c r="J1363" s="391" t="str">
        <f t="shared" si="114"/>
        <v/>
      </c>
      <c r="K1363" s="391" t="str">
        <f t="shared" si="115"/>
        <v/>
      </c>
    </row>
    <row r="1364" spans="8:11">
      <c r="H1364" s="391" t="str">
        <f t="shared" si="112"/>
        <v/>
      </c>
      <c r="I1364" s="391" t="str">
        <f t="shared" si="113"/>
        <v/>
      </c>
      <c r="J1364" s="391" t="str">
        <f t="shared" si="114"/>
        <v/>
      </c>
      <c r="K1364" s="391" t="str">
        <f t="shared" si="115"/>
        <v/>
      </c>
    </row>
    <row r="1365" spans="8:11">
      <c r="H1365" s="391" t="str">
        <f t="shared" si="112"/>
        <v/>
      </c>
      <c r="I1365" s="391" t="str">
        <f t="shared" si="113"/>
        <v/>
      </c>
      <c r="J1365" s="391" t="str">
        <f t="shared" si="114"/>
        <v/>
      </c>
      <c r="K1365" s="391" t="str">
        <f t="shared" si="115"/>
        <v/>
      </c>
    </row>
    <row r="1366" spans="8:11">
      <c r="H1366" s="391" t="str">
        <f t="shared" si="112"/>
        <v/>
      </c>
      <c r="I1366" s="391" t="str">
        <f t="shared" si="113"/>
        <v/>
      </c>
      <c r="J1366" s="391" t="str">
        <f t="shared" si="114"/>
        <v/>
      </c>
      <c r="K1366" s="391" t="str">
        <f t="shared" si="115"/>
        <v/>
      </c>
    </row>
    <row r="1367" spans="8:11">
      <c r="H1367" s="391" t="str">
        <f t="shared" si="112"/>
        <v/>
      </c>
      <c r="I1367" s="391" t="str">
        <f t="shared" si="113"/>
        <v/>
      </c>
      <c r="J1367" s="391" t="str">
        <f t="shared" si="114"/>
        <v/>
      </c>
      <c r="K1367" s="391" t="str">
        <f t="shared" si="115"/>
        <v/>
      </c>
    </row>
    <row r="1368" spans="8:11">
      <c r="H1368" s="391" t="str">
        <f t="shared" si="112"/>
        <v/>
      </c>
      <c r="I1368" s="391" t="str">
        <f t="shared" si="113"/>
        <v/>
      </c>
      <c r="J1368" s="391" t="str">
        <f t="shared" si="114"/>
        <v/>
      </c>
      <c r="K1368" s="391" t="str">
        <f t="shared" si="115"/>
        <v/>
      </c>
    </row>
    <row r="1369" spans="8:11">
      <c r="H1369" s="391" t="str">
        <f t="shared" si="112"/>
        <v/>
      </c>
      <c r="I1369" s="391" t="str">
        <f t="shared" si="113"/>
        <v/>
      </c>
      <c r="J1369" s="391" t="str">
        <f t="shared" si="114"/>
        <v/>
      </c>
      <c r="K1369" s="391" t="str">
        <f t="shared" si="115"/>
        <v/>
      </c>
    </row>
    <row r="1370" spans="8:11">
      <c r="H1370" s="391" t="str">
        <f t="shared" si="112"/>
        <v/>
      </c>
      <c r="I1370" s="391" t="str">
        <f t="shared" si="113"/>
        <v/>
      </c>
      <c r="J1370" s="391" t="str">
        <f t="shared" si="114"/>
        <v/>
      </c>
      <c r="K1370" s="391" t="str">
        <f t="shared" si="115"/>
        <v/>
      </c>
    </row>
    <row r="1371" spans="8:11">
      <c r="H1371" s="391" t="str">
        <f t="shared" si="112"/>
        <v/>
      </c>
      <c r="I1371" s="391" t="str">
        <f t="shared" si="113"/>
        <v/>
      </c>
      <c r="J1371" s="391" t="str">
        <f t="shared" si="114"/>
        <v/>
      </c>
      <c r="K1371" s="391" t="str">
        <f t="shared" si="115"/>
        <v/>
      </c>
    </row>
    <row r="1372" spans="8:11">
      <c r="H1372" s="391" t="str">
        <f t="shared" si="112"/>
        <v/>
      </c>
      <c r="I1372" s="391" t="str">
        <f t="shared" si="113"/>
        <v/>
      </c>
      <c r="J1372" s="391" t="str">
        <f t="shared" si="114"/>
        <v/>
      </c>
      <c r="K1372" s="391" t="str">
        <f t="shared" si="115"/>
        <v/>
      </c>
    </row>
    <row r="1373" spans="8:11">
      <c r="H1373" s="391" t="str">
        <f t="shared" si="112"/>
        <v/>
      </c>
      <c r="I1373" s="391" t="str">
        <f t="shared" si="113"/>
        <v/>
      </c>
      <c r="J1373" s="391" t="str">
        <f t="shared" si="114"/>
        <v/>
      </c>
      <c r="K1373" s="391" t="str">
        <f t="shared" si="115"/>
        <v/>
      </c>
    </row>
    <row r="1374" spans="8:11">
      <c r="H1374" s="391" t="str">
        <f t="shared" si="112"/>
        <v/>
      </c>
      <c r="I1374" s="391" t="str">
        <f t="shared" si="113"/>
        <v/>
      </c>
      <c r="J1374" s="391" t="str">
        <f t="shared" si="114"/>
        <v/>
      </c>
      <c r="K1374" s="391" t="str">
        <f t="shared" si="115"/>
        <v/>
      </c>
    </row>
    <row r="1375" spans="8:11">
      <c r="H1375" s="391" t="str">
        <f t="shared" si="112"/>
        <v/>
      </c>
      <c r="I1375" s="391" t="str">
        <f t="shared" si="113"/>
        <v/>
      </c>
      <c r="J1375" s="391" t="str">
        <f t="shared" si="114"/>
        <v/>
      </c>
      <c r="K1375" s="391" t="str">
        <f t="shared" si="115"/>
        <v/>
      </c>
    </row>
    <row r="1376" spans="8:11">
      <c r="H1376" s="391" t="str">
        <f t="shared" si="112"/>
        <v/>
      </c>
      <c r="I1376" s="391" t="str">
        <f t="shared" si="113"/>
        <v/>
      </c>
      <c r="J1376" s="391" t="str">
        <f t="shared" si="114"/>
        <v/>
      </c>
      <c r="K1376" s="391" t="str">
        <f t="shared" si="115"/>
        <v/>
      </c>
    </row>
    <row r="1377" spans="8:11">
      <c r="H1377" s="391" t="str">
        <f t="shared" si="112"/>
        <v/>
      </c>
      <c r="I1377" s="391" t="str">
        <f t="shared" si="113"/>
        <v/>
      </c>
      <c r="J1377" s="391" t="str">
        <f t="shared" si="114"/>
        <v/>
      </c>
      <c r="K1377" s="391" t="str">
        <f t="shared" si="115"/>
        <v/>
      </c>
    </row>
    <row r="1378" spans="8:11">
      <c r="H1378" s="391" t="str">
        <f t="shared" si="112"/>
        <v/>
      </c>
      <c r="I1378" s="391" t="str">
        <f t="shared" si="113"/>
        <v/>
      </c>
      <c r="J1378" s="391" t="str">
        <f t="shared" si="114"/>
        <v/>
      </c>
      <c r="K1378" s="391" t="str">
        <f t="shared" si="115"/>
        <v/>
      </c>
    </row>
    <row r="1379" spans="8:11">
      <c r="H1379" s="391" t="str">
        <f t="shared" si="112"/>
        <v/>
      </c>
      <c r="I1379" s="391" t="str">
        <f t="shared" si="113"/>
        <v/>
      </c>
      <c r="J1379" s="391" t="str">
        <f t="shared" si="114"/>
        <v/>
      </c>
      <c r="K1379" s="391" t="str">
        <f t="shared" si="115"/>
        <v/>
      </c>
    </row>
    <row r="1380" spans="8:11">
      <c r="H1380" s="391" t="str">
        <f t="shared" si="112"/>
        <v/>
      </c>
      <c r="I1380" s="391" t="str">
        <f t="shared" si="113"/>
        <v/>
      </c>
      <c r="J1380" s="391" t="str">
        <f t="shared" si="114"/>
        <v/>
      </c>
      <c r="K1380" s="391" t="str">
        <f t="shared" si="115"/>
        <v/>
      </c>
    </row>
    <row r="1381" spans="8:11">
      <c r="H1381" s="391" t="str">
        <f t="shared" si="112"/>
        <v/>
      </c>
      <c r="I1381" s="391" t="str">
        <f t="shared" si="113"/>
        <v/>
      </c>
      <c r="J1381" s="391" t="str">
        <f t="shared" si="114"/>
        <v/>
      </c>
      <c r="K1381" s="391" t="str">
        <f t="shared" si="115"/>
        <v/>
      </c>
    </row>
    <row r="1382" spans="8:11">
      <c r="H1382" s="391" t="str">
        <f t="shared" si="112"/>
        <v/>
      </c>
      <c r="I1382" s="391" t="str">
        <f t="shared" si="113"/>
        <v/>
      </c>
      <c r="J1382" s="391" t="str">
        <f t="shared" si="114"/>
        <v/>
      </c>
      <c r="K1382" s="391" t="str">
        <f t="shared" si="115"/>
        <v/>
      </c>
    </row>
    <row r="1383" spans="8:11">
      <c r="H1383" s="391" t="str">
        <f t="shared" si="112"/>
        <v/>
      </c>
      <c r="I1383" s="391" t="str">
        <f t="shared" si="113"/>
        <v/>
      </c>
      <c r="J1383" s="391" t="str">
        <f t="shared" si="114"/>
        <v/>
      </c>
      <c r="K1383" s="391" t="str">
        <f t="shared" si="115"/>
        <v/>
      </c>
    </row>
    <row r="1384" spans="8:11">
      <c r="H1384" s="391" t="str">
        <f t="shared" si="112"/>
        <v/>
      </c>
      <c r="I1384" s="391" t="str">
        <f t="shared" si="113"/>
        <v/>
      </c>
      <c r="J1384" s="391" t="str">
        <f t="shared" si="114"/>
        <v/>
      </c>
      <c r="K1384" s="391" t="str">
        <f t="shared" si="115"/>
        <v/>
      </c>
    </row>
    <row r="1385" spans="8:11">
      <c r="H1385" s="391" t="str">
        <f t="shared" ref="H1385:H1448" si="116">IF($C407="","",ROUND(($B$2*$F407*($B$5/1000))/$B$6,2))</f>
        <v/>
      </c>
      <c r="I1385" s="391" t="str">
        <f t="shared" ref="I1385:I1448" si="117">IF($C407="","",ROUND(($B$3*$F407*($B$5/1000))/$B$6,2))</f>
        <v/>
      </c>
      <c r="J1385" s="391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1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>
      <c r="H1386" s="391" t="str">
        <f t="shared" si="116"/>
        <v/>
      </c>
      <c r="I1386" s="391" t="str">
        <f t="shared" si="117"/>
        <v/>
      </c>
      <c r="J1386" s="391" t="str">
        <f t="shared" si="118"/>
        <v/>
      </c>
      <c r="K1386" s="391" t="str">
        <f t="shared" si="119"/>
        <v/>
      </c>
    </row>
    <row r="1387" spans="8:11">
      <c r="H1387" s="391" t="str">
        <f t="shared" si="116"/>
        <v/>
      </c>
      <c r="I1387" s="391" t="str">
        <f t="shared" si="117"/>
        <v/>
      </c>
      <c r="J1387" s="391" t="str">
        <f t="shared" si="118"/>
        <v/>
      </c>
      <c r="K1387" s="391" t="str">
        <f t="shared" si="119"/>
        <v/>
      </c>
    </row>
    <row r="1388" spans="8:11">
      <c r="H1388" s="391" t="str">
        <f t="shared" si="116"/>
        <v/>
      </c>
      <c r="I1388" s="391" t="str">
        <f t="shared" si="117"/>
        <v/>
      </c>
      <c r="J1388" s="391" t="str">
        <f t="shared" si="118"/>
        <v/>
      </c>
      <c r="K1388" s="391" t="str">
        <f t="shared" si="119"/>
        <v/>
      </c>
    </row>
    <row r="1389" spans="8:11">
      <c r="H1389" s="391" t="str">
        <f t="shared" si="116"/>
        <v/>
      </c>
      <c r="I1389" s="391" t="str">
        <f t="shared" si="117"/>
        <v/>
      </c>
      <c r="J1389" s="391" t="str">
        <f t="shared" si="118"/>
        <v/>
      </c>
      <c r="K1389" s="391" t="str">
        <f t="shared" si="119"/>
        <v/>
      </c>
    </row>
    <row r="1390" spans="8:11">
      <c r="H1390" s="391" t="str">
        <f t="shared" si="116"/>
        <v/>
      </c>
      <c r="I1390" s="391" t="str">
        <f t="shared" si="117"/>
        <v/>
      </c>
      <c r="J1390" s="391" t="str">
        <f t="shared" si="118"/>
        <v/>
      </c>
      <c r="K1390" s="391" t="str">
        <f t="shared" si="119"/>
        <v/>
      </c>
    </row>
    <row r="1391" spans="8:11">
      <c r="H1391" s="391" t="str">
        <f t="shared" si="116"/>
        <v/>
      </c>
      <c r="I1391" s="391" t="str">
        <f t="shared" si="117"/>
        <v/>
      </c>
      <c r="J1391" s="391" t="str">
        <f t="shared" si="118"/>
        <v/>
      </c>
      <c r="K1391" s="391" t="str">
        <f t="shared" si="119"/>
        <v/>
      </c>
    </row>
    <row r="1392" spans="8:11">
      <c r="H1392" s="391" t="str">
        <f t="shared" si="116"/>
        <v/>
      </c>
      <c r="I1392" s="391" t="str">
        <f t="shared" si="117"/>
        <v/>
      </c>
      <c r="J1392" s="391" t="str">
        <f t="shared" si="118"/>
        <v/>
      </c>
      <c r="K1392" s="391" t="str">
        <f t="shared" si="119"/>
        <v/>
      </c>
    </row>
    <row r="1393" spans="8:11">
      <c r="H1393" s="391" t="str">
        <f t="shared" si="116"/>
        <v/>
      </c>
      <c r="I1393" s="391" t="str">
        <f t="shared" si="117"/>
        <v/>
      </c>
      <c r="J1393" s="391" t="str">
        <f t="shared" si="118"/>
        <v/>
      </c>
      <c r="K1393" s="391" t="str">
        <f t="shared" si="119"/>
        <v/>
      </c>
    </row>
    <row r="1394" spans="8:11">
      <c r="H1394" s="391" t="str">
        <f t="shared" si="116"/>
        <v/>
      </c>
      <c r="I1394" s="391" t="str">
        <f t="shared" si="117"/>
        <v/>
      </c>
      <c r="J1394" s="391" t="str">
        <f t="shared" si="118"/>
        <v/>
      </c>
      <c r="K1394" s="391" t="str">
        <f t="shared" si="119"/>
        <v/>
      </c>
    </row>
    <row r="1395" spans="8:11">
      <c r="H1395" s="391" t="str">
        <f t="shared" si="116"/>
        <v/>
      </c>
      <c r="I1395" s="391" t="str">
        <f t="shared" si="117"/>
        <v/>
      </c>
      <c r="J1395" s="391" t="str">
        <f t="shared" si="118"/>
        <v/>
      </c>
      <c r="K1395" s="391" t="str">
        <f t="shared" si="119"/>
        <v/>
      </c>
    </row>
    <row r="1396" spans="8:11">
      <c r="H1396" s="391" t="str">
        <f t="shared" si="116"/>
        <v/>
      </c>
      <c r="I1396" s="391" t="str">
        <f t="shared" si="117"/>
        <v/>
      </c>
      <c r="J1396" s="391" t="str">
        <f t="shared" si="118"/>
        <v/>
      </c>
      <c r="K1396" s="391" t="str">
        <f t="shared" si="119"/>
        <v/>
      </c>
    </row>
    <row r="1397" spans="8:11">
      <c r="H1397" s="391" t="str">
        <f t="shared" si="116"/>
        <v/>
      </c>
      <c r="I1397" s="391" t="str">
        <f t="shared" si="117"/>
        <v/>
      </c>
      <c r="J1397" s="391" t="str">
        <f t="shared" si="118"/>
        <v/>
      </c>
      <c r="K1397" s="391" t="str">
        <f t="shared" si="119"/>
        <v/>
      </c>
    </row>
    <row r="1398" spans="8:11">
      <c r="H1398" s="391" t="str">
        <f t="shared" si="116"/>
        <v/>
      </c>
      <c r="I1398" s="391" t="str">
        <f t="shared" si="117"/>
        <v/>
      </c>
      <c r="J1398" s="391" t="str">
        <f t="shared" si="118"/>
        <v/>
      </c>
      <c r="K1398" s="391" t="str">
        <f t="shared" si="119"/>
        <v/>
      </c>
    </row>
    <row r="1399" spans="8:11">
      <c r="H1399" s="391" t="str">
        <f t="shared" si="116"/>
        <v/>
      </c>
      <c r="I1399" s="391" t="str">
        <f t="shared" si="117"/>
        <v/>
      </c>
      <c r="J1399" s="391" t="str">
        <f t="shared" si="118"/>
        <v/>
      </c>
      <c r="K1399" s="391" t="str">
        <f t="shared" si="119"/>
        <v/>
      </c>
    </row>
    <row r="1400" spans="8:11">
      <c r="H1400" s="391" t="str">
        <f t="shared" si="116"/>
        <v/>
      </c>
      <c r="I1400" s="391" t="str">
        <f t="shared" si="117"/>
        <v/>
      </c>
      <c r="J1400" s="391" t="str">
        <f t="shared" si="118"/>
        <v/>
      </c>
      <c r="K1400" s="391" t="str">
        <f t="shared" si="119"/>
        <v/>
      </c>
    </row>
    <row r="1401" spans="8:11">
      <c r="H1401" s="391" t="str">
        <f t="shared" si="116"/>
        <v/>
      </c>
      <c r="I1401" s="391" t="str">
        <f t="shared" si="117"/>
        <v/>
      </c>
      <c r="J1401" s="391" t="str">
        <f t="shared" si="118"/>
        <v/>
      </c>
      <c r="K1401" s="391" t="str">
        <f t="shared" si="119"/>
        <v/>
      </c>
    </row>
    <row r="1402" spans="8:11">
      <c r="H1402" s="391" t="str">
        <f t="shared" si="116"/>
        <v/>
      </c>
      <c r="I1402" s="391" t="str">
        <f t="shared" si="117"/>
        <v/>
      </c>
      <c r="J1402" s="391" t="str">
        <f t="shared" si="118"/>
        <v/>
      </c>
      <c r="K1402" s="391" t="str">
        <f t="shared" si="119"/>
        <v/>
      </c>
    </row>
    <row r="1403" spans="8:11">
      <c r="H1403" s="391" t="str">
        <f t="shared" si="116"/>
        <v/>
      </c>
      <c r="I1403" s="391" t="str">
        <f t="shared" si="117"/>
        <v/>
      </c>
      <c r="J1403" s="391" t="str">
        <f t="shared" si="118"/>
        <v/>
      </c>
      <c r="K1403" s="391" t="str">
        <f t="shared" si="119"/>
        <v/>
      </c>
    </row>
    <row r="1404" spans="8:11">
      <c r="H1404" s="391" t="str">
        <f t="shared" si="116"/>
        <v/>
      </c>
      <c r="I1404" s="391" t="str">
        <f t="shared" si="117"/>
        <v/>
      </c>
      <c r="J1404" s="391" t="str">
        <f t="shared" si="118"/>
        <v/>
      </c>
      <c r="K1404" s="391" t="str">
        <f t="shared" si="119"/>
        <v/>
      </c>
    </row>
    <row r="1405" spans="8:11">
      <c r="H1405" s="391" t="str">
        <f t="shared" si="116"/>
        <v/>
      </c>
      <c r="I1405" s="391" t="str">
        <f t="shared" si="117"/>
        <v/>
      </c>
      <c r="J1405" s="391" t="str">
        <f t="shared" si="118"/>
        <v/>
      </c>
      <c r="K1405" s="391" t="str">
        <f t="shared" si="119"/>
        <v/>
      </c>
    </row>
    <row r="1406" spans="8:11">
      <c r="H1406" s="391" t="str">
        <f t="shared" si="116"/>
        <v/>
      </c>
      <c r="I1406" s="391" t="str">
        <f t="shared" si="117"/>
        <v/>
      </c>
      <c r="J1406" s="391" t="str">
        <f t="shared" si="118"/>
        <v/>
      </c>
      <c r="K1406" s="391" t="str">
        <f t="shared" si="119"/>
        <v/>
      </c>
    </row>
    <row r="1407" spans="8:11">
      <c r="H1407" s="391" t="str">
        <f t="shared" si="116"/>
        <v/>
      </c>
      <c r="I1407" s="391" t="str">
        <f t="shared" si="117"/>
        <v/>
      </c>
      <c r="J1407" s="391" t="str">
        <f t="shared" si="118"/>
        <v/>
      </c>
      <c r="K1407" s="391" t="str">
        <f t="shared" si="119"/>
        <v/>
      </c>
    </row>
    <row r="1408" spans="8:11">
      <c r="H1408" s="391" t="str">
        <f t="shared" si="116"/>
        <v/>
      </c>
      <c r="I1408" s="391" t="str">
        <f t="shared" si="117"/>
        <v/>
      </c>
      <c r="J1408" s="391" t="str">
        <f t="shared" si="118"/>
        <v/>
      </c>
      <c r="K1408" s="391" t="str">
        <f t="shared" si="119"/>
        <v/>
      </c>
    </row>
    <row r="1409" spans="8:11">
      <c r="H1409" s="391" t="str">
        <f t="shared" si="116"/>
        <v/>
      </c>
      <c r="I1409" s="391" t="str">
        <f t="shared" si="117"/>
        <v/>
      </c>
      <c r="J1409" s="391" t="str">
        <f t="shared" si="118"/>
        <v/>
      </c>
      <c r="K1409" s="391" t="str">
        <f t="shared" si="119"/>
        <v/>
      </c>
    </row>
    <row r="1410" spans="8:11">
      <c r="H1410" s="391" t="str">
        <f t="shared" si="116"/>
        <v/>
      </c>
      <c r="I1410" s="391" t="str">
        <f t="shared" si="117"/>
        <v/>
      </c>
      <c r="J1410" s="391" t="str">
        <f t="shared" si="118"/>
        <v/>
      </c>
      <c r="K1410" s="391" t="str">
        <f t="shared" si="119"/>
        <v/>
      </c>
    </row>
    <row r="1411" spans="8:11">
      <c r="H1411" s="391" t="str">
        <f t="shared" si="116"/>
        <v/>
      </c>
      <c r="I1411" s="391" t="str">
        <f t="shared" si="117"/>
        <v/>
      </c>
      <c r="J1411" s="391" t="str">
        <f t="shared" si="118"/>
        <v/>
      </c>
      <c r="K1411" s="391" t="str">
        <f t="shared" si="119"/>
        <v/>
      </c>
    </row>
    <row r="1412" spans="8:11">
      <c r="H1412" s="391" t="str">
        <f t="shared" si="116"/>
        <v/>
      </c>
      <c r="I1412" s="391" t="str">
        <f t="shared" si="117"/>
        <v/>
      </c>
      <c r="J1412" s="391" t="str">
        <f t="shared" si="118"/>
        <v/>
      </c>
      <c r="K1412" s="391" t="str">
        <f t="shared" si="119"/>
        <v/>
      </c>
    </row>
    <row r="1413" spans="8:11">
      <c r="H1413" s="391" t="str">
        <f t="shared" si="116"/>
        <v/>
      </c>
      <c r="I1413" s="391" t="str">
        <f t="shared" si="117"/>
        <v/>
      </c>
      <c r="J1413" s="391" t="str">
        <f t="shared" si="118"/>
        <v/>
      </c>
      <c r="K1413" s="391" t="str">
        <f t="shared" si="119"/>
        <v/>
      </c>
    </row>
    <row r="1414" spans="8:11">
      <c r="H1414" s="391" t="str">
        <f t="shared" si="116"/>
        <v/>
      </c>
      <c r="I1414" s="391" t="str">
        <f t="shared" si="117"/>
        <v/>
      </c>
      <c r="J1414" s="391" t="str">
        <f t="shared" si="118"/>
        <v/>
      </c>
      <c r="K1414" s="391" t="str">
        <f t="shared" si="119"/>
        <v/>
      </c>
    </row>
    <row r="1415" spans="8:11">
      <c r="H1415" s="391" t="str">
        <f t="shared" si="116"/>
        <v/>
      </c>
      <c r="I1415" s="391" t="str">
        <f t="shared" si="117"/>
        <v/>
      </c>
      <c r="J1415" s="391" t="str">
        <f t="shared" si="118"/>
        <v/>
      </c>
      <c r="K1415" s="391" t="str">
        <f t="shared" si="119"/>
        <v/>
      </c>
    </row>
    <row r="1416" spans="8:11">
      <c r="H1416" s="391" t="str">
        <f t="shared" si="116"/>
        <v/>
      </c>
      <c r="I1416" s="391" t="str">
        <f t="shared" si="117"/>
        <v/>
      </c>
      <c r="J1416" s="391" t="str">
        <f t="shared" si="118"/>
        <v/>
      </c>
      <c r="K1416" s="391" t="str">
        <f t="shared" si="119"/>
        <v/>
      </c>
    </row>
    <row r="1417" spans="8:11">
      <c r="H1417" s="391" t="str">
        <f t="shared" si="116"/>
        <v/>
      </c>
      <c r="I1417" s="391" t="str">
        <f t="shared" si="117"/>
        <v/>
      </c>
      <c r="J1417" s="391" t="str">
        <f t="shared" si="118"/>
        <v/>
      </c>
      <c r="K1417" s="391" t="str">
        <f t="shared" si="119"/>
        <v/>
      </c>
    </row>
    <row r="1418" spans="8:11">
      <c r="H1418" s="391" t="str">
        <f t="shared" si="116"/>
        <v/>
      </c>
      <c r="I1418" s="391" t="str">
        <f t="shared" si="117"/>
        <v/>
      </c>
      <c r="J1418" s="391" t="str">
        <f t="shared" si="118"/>
        <v/>
      </c>
      <c r="K1418" s="391" t="str">
        <f t="shared" si="119"/>
        <v/>
      </c>
    </row>
    <row r="1419" spans="8:11">
      <c r="H1419" s="391" t="str">
        <f t="shared" si="116"/>
        <v/>
      </c>
      <c r="I1419" s="391" t="str">
        <f t="shared" si="117"/>
        <v/>
      </c>
      <c r="J1419" s="391" t="str">
        <f t="shared" si="118"/>
        <v/>
      </c>
      <c r="K1419" s="391" t="str">
        <f t="shared" si="119"/>
        <v/>
      </c>
    </row>
    <row r="1420" spans="8:11">
      <c r="H1420" s="391" t="str">
        <f t="shared" si="116"/>
        <v/>
      </c>
      <c r="I1420" s="391" t="str">
        <f t="shared" si="117"/>
        <v/>
      </c>
      <c r="J1420" s="391" t="str">
        <f t="shared" si="118"/>
        <v/>
      </c>
      <c r="K1420" s="391" t="str">
        <f t="shared" si="119"/>
        <v/>
      </c>
    </row>
    <row r="1421" spans="8:11">
      <c r="H1421" s="391" t="str">
        <f t="shared" si="116"/>
        <v/>
      </c>
      <c r="I1421" s="391" t="str">
        <f t="shared" si="117"/>
        <v/>
      </c>
      <c r="J1421" s="391" t="str">
        <f t="shared" si="118"/>
        <v/>
      </c>
      <c r="K1421" s="391" t="str">
        <f t="shared" si="119"/>
        <v/>
      </c>
    </row>
    <row r="1422" spans="8:11">
      <c r="H1422" s="391" t="str">
        <f t="shared" si="116"/>
        <v/>
      </c>
      <c r="I1422" s="391" t="str">
        <f t="shared" si="117"/>
        <v/>
      </c>
      <c r="J1422" s="391" t="str">
        <f t="shared" si="118"/>
        <v/>
      </c>
      <c r="K1422" s="391" t="str">
        <f t="shared" si="119"/>
        <v/>
      </c>
    </row>
    <row r="1423" spans="8:11">
      <c r="H1423" s="391" t="str">
        <f t="shared" si="116"/>
        <v/>
      </c>
      <c r="I1423" s="391" t="str">
        <f t="shared" si="117"/>
        <v/>
      </c>
      <c r="J1423" s="391" t="str">
        <f t="shared" si="118"/>
        <v/>
      </c>
      <c r="K1423" s="391" t="str">
        <f t="shared" si="119"/>
        <v/>
      </c>
    </row>
    <row r="1424" spans="8:11">
      <c r="H1424" s="391" t="str">
        <f t="shared" si="116"/>
        <v/>
      </c>
      <c r="I1424" s="391" t="str">
        <f t="shared" si="117"/>
        <v/>
      </c>
      <c r="J1424" s="391" t="str">
        <f t="shared" si="118"/>
        <v/>
      </c>
      <c r="K1424" s="391" t="str">
        <f t="shared" si="119"/>
        <v/>
      </c>
    </row>
    <row r="1425" spans="8:11">
      <c r="H1425" s="391" t="str">
        <f t="shared" si="116"/>
        <v/>
      </c>
      <c r="I1425" s="391" t="str">
        <f t="shared" si="117"/>
        <v/>
      </c>
      <c r="J1425" s="391" t="str">
        <f t="shared" si="118"/>
        <v/>
      </c>
      <c r="K1425" s="391" t="str">
        <f t="shared" si="119"/>
        <v/>
      </c>
    </row>
    <row r="1426" spans="8:11">
      <c r="H1426" s="391" t="str">
        <f t="shared" si="116"/>
        <v/>
      </c>
      <c r="I1426" s="391" t="str">
        <f t="shared" si="117"/>
        <v/>
      </c>
      <c r="J1426" s="391" t="str">
        <f t="shared" si="118"/>
        <v/>
      </c>
      <c r="K1426" s="391" t="str">
        <f t="shared" si="119"/>
        <v/>
      </c>
    </row>
    <row r="1427" spans="8:11">
      <c r="H1427" s="391" t="str">
        <f t="shared" si="116"/>
        <v/>
      </c>
      <c r="I1427" s="391" t="str">
        <f t="shared" si="117"/>
        <v/>
      </c>
      <c r="J1427" s="391" t="str">
        <f t="shared" si="118"/>
        <v/>
      </c>
      <c r="K1427" s="391" t="str">
        <f t="shared" si="119"/>
        <v/>
      </c>
    </row>
    <row r="1428" spans="8:11">
      <c r="H1428" s="391" t="str">
        <f t="shared" si="116"/>
        <v/>
      </c>
      <c r="I1428" s="391" t="str">
        <f t="shared" si="117"/>
        <v/>
      </c>
      <c r="J1428" s="391" t="str">
        <f t="shared" si="118"/>
        <v/>
      </c>
      <c r="K1428" s="391" t="str">
        <f t="shared" si="119"/>
        <v/>
      </c>
    </row>
    <row r="1429" spans="8:11">
      <c r="H1429" s="391" t="str">
        <f t="shared" si="116"/>
        <v/>
      </c>
      <c r="I1429" s="391" t="str">
        <f t="shared" si="117"/>
        <v/>
      </c>
      <c r="J1429" s="391" t="str">
        <f t="shared" si="118"/>
        <v/>
      </c>
      <c r="K1429" s="391" t="str">
        <f t="shared" si="119"/>
        <v/>
      </c>
    </row>
    <row r="1430" spans="8:11">
      <c r="H1430" s="391" t="str">
        <f t="shared" si="116"/>
        <v/>
      </c>
      <c r="I1430" s="391" t="str">
        <f t="shared" si="117"/>
        <v/>
      </c>
      <c r="J1430" s="391" t="str">
        <f t="shared" si="118"/>
        <v/>
      </c>
      <c r="K1430" s="391" t="str">
        <f t="shared" si="119"/>
        <v/>
      </c>
    </row>
    <row r="1431" spans="8:11">
      <c r="H1431" s="391" t="str">
        <f t="shared" si="116"/>
        <v/>
      </c>
      <c r="I1431" s="391" t="str">
        <f t="shared" si="117"/>
        <v/>
      </c>
      <c r="J1431" s="391" t="str">
        <f t="shared" si="118"/>
        <v/>
      </c>
      <c r="K1431" s="391" t="str">
        <f t="shared" si="119"/>
        <v/>
      </c>
    </row>
    <row r="1432" spans="8:11">
      <c r="H1432" s="391" t="str">
        <f t="shared" si="116"/>
        <v/>
      </c>
      <c r="I1432" s="391" t="str">
        <f t="shared" si="117"/>
        <v/>
      </c>
      <c r="J1432" s="391" t="str">
        <f t="shared" si="118"/>
        <v/>
      </c>
      <c r="K1432" s="391" t="str">
        <f t="shared" si="119"/>
        <v/>
      </c>
    </row>
    <row r="1433" spans="8:11">
      <c r="H1433" s="391" t="str">
        <f t="shared" si="116"/>
        <v/>
      </c>
      <c r="I1433" s="391" t="str">
        <f t="shared" si="117"/>
        <v/>
      </c>
      <c r="J1433" s="391" t="str">
        <f t="shared" si="118"/>
        <v/>
      </c>
      <c r="K1433" s="391" t="str">
        <f t="shared" si="119"/>
        <v/>
      </c>
    </row>
    <row r="1434" spans="8:11">
      <c r="H1434" s="391" t="str">
        <f t="shared" si="116"/>
        <v/>
      </c>
      <c r="I1434" s="391" t="str">
        <f t="shared" si="117"/>
        <v/>
      </c>
      <c r="J1434" s="391" t="str">
        <f t="shared" si="118"/>
        <v/>
      </c>
      <c r="K1434" s="391" t="str">
        <f t="shared" si="119"/>
        <v/>
      </c>
    </row>
    <row r="1435" spans="8:11">
      <c r="H1435" s="391" t="str">
        <f t="shared" si="116"/>
        <v/>
      </c>
      <c r="I1435" s="391" t="str">
        <f t="shared" si="117"/>
        <v/>
      </c>
      <c r="J1435" s="391" t="str">
        <f t="shared" si="118"/>
        <v/>
      </c>
      <c r="K1435" s="391" t="str">
        <f t="shared" si="119"/>
        <v/>
      </c>
    </row>
    <row r="1436" spans="8:11">
      <c r="H1436" s="391" t="str">
        <f t="shared" si="116"/>
        <v/>
      </c>
      <c r="I1436" s="391" t="str">
        <f t="shared" si="117"/>
        <v/>
      </c>
      <c r="J1436" s="391" t="str">
        <f t="shared" si="118"/>
        <v/>
      </c>
      <c r="K1436" s="391" t="str">
        <f t="shared" si="119"/>
        <v/>
      </c>
    </row>
    <row r="1437" spans="8:11">
      <c r="H1437" s="391" t="str">
        <f t="shared" si="116"/>
        <v/>
      </c>
      <c r="I1437" s="391" t="str">
        <f t="shared" si="117"/>
        <v/>
      </c>
      <c r="J1437" s="391" t="str">
        <f t="shared" si="118"/>
        <v/>
      </c>
      <c r="K1437" s="391" t="str">
        <f t="shared" si="119"/>
        <v/>
      </c>
    </row>
    <row r="1438" spans="8:11">
      <c r="H1438" s="391" t="str">
        <f t="shared" si="116"/>
        <v/>
      </c>
      <c r="I1438" s="391" t="str">
        <f t="shared" si="117"/>
        <v/>
      </c>
      <c r="J1438" s="391" t="str">
        <f t="shared" si="118"/>
        <v/>
      </c>
      <c r="K1438" s="391" t="str">
        <f t="shared" si="119"/>
        <v/>
      </c>
    </row>
    <row r="1439" spans="8:11">
      <c r="H1439" s="391" t="str">
        <f t="shared" si="116"/>
        <v/>
      </c>
      <c r="I1439" s="391" t="str">
        <f t="shared" si="117"/>
        <v/>
      </c>
      <c r="J1439" s="391" t="str">
        <f t="shared" si="118"/>
        <v/>
      </c>
      <c r="K1439" s="391" t="str">
        <f t="shared" si="119"/>
        <v/>
      </c>
    </row>
    <row r="1440" spans="8:11">
      <c r="H1440" s="391" t="str">
        <f t="shared" si="116"/>
        <v/>
      </c>
      <c r="I1440" s="391" t="str">
        <f t="shared" si="117"/>
        <v/>
      </c>
      <c r="J1440" s="391" t="str">
        <f t="shared" si="118"/>
        <v/>
      </c>
      <c r="K1440" s="391" t="str">
        <f t="shared" si="119"/>
        <v/>
      </c>
    </row>
    <row r="1441" spans="8:11">
      <c r="H1441" s="391" t="str">
        <f t="shared" si="116"/>
        <v/>
      </c>
      <c r="I1441" s="391" t="str">
        <f t="shared" si="117"/>
        <v/>
      </c>
      <c r="J1441" s="391" t="str">
        <f t="shared" si="118"/>
        <v/>
      </c>
      <c r="K1441" s="391" t="str">
        <f t="shared" si="119"/>
        <v/>
      </c>
    </row>
    <row r="1442" spans="8:11">
      <c r="H1442" s="391" t="str">
        <f t="shared" si="116"/>
        <v/>
      </c>
      <c r="I1442" s="391" t="str">
        <f t="shared" si="117"/>
        <v/>
      </c>
      <c r="J1442" s="391" t="str">
        <f t="shared" si="118"/>
        <v/>
      </c>
      <c r="K1442" s="391" t="str">
        <f t="shared" si="119"/>
        <v/>
      </c>
    </row>
    <row r="1443" spans="8:11">
      <c r="H1443" s="391" t="str">
        <f t="shared" si="116"/>
        <v/>
      </c>
      <c r="I1443" s="391" t="str">
        <f t="shared" si="117"/>
        <v/>
      </c>
      <c r="J1443" s="391" t="str">
        <f t="shared" si="118"/>
        <v/>
      </c>
      <c r="K1443" s="391" t="str">
        <f t="shared" si="119"/>
        <v/>
      </c>
    </row>
    <row r="1444" spans="8:11">
      <c r="H1444" s="391" t="str">
        <f t="shared" si="116"/>
        <v/>
      </c>
      <c r="I1444" s="391" t="str">
        <f t="shared" si="117"/>
        <v/>
      </c>
      <c r="J1444" s="391" t="str">
        <f t="shared" si="118"/>
        <v/>
      </c>
      <c r="K1444" s="391" t="str">
        <f t="shared" si="119"/>
        <v/>
      </c>
    </row>
    <row r="1445" spans="8:11">
      <c r="H1445" s="391" t="str">
        <f t="shared" si="116"/>
        <v/>
      </c>
      <c r="I1445" s="391" t="str">
        <f t="shared" si="117"/>
        <v/>
      </c>
      <c r="J1445" s="391" t="str">
        <f t="shared" si="118"/>
        <v/>
      </c>
      <c r="K1445" s="391" t="str">
        <f t="shared" si="119"/>
        <v/>
      </c>
    </row>
    <row r="1446" spans="8:11">
      <c r="H1446" s="391" t="str">
        <f t="shared" si="116"/>
        <v/>
      </c>
      <c r="I1446" s="391" t="str">
        <f t="shared" si="117"/>
        <v/>
      </c>
      <c r="J1446" s="391" t="str">
        <f t="shared" si="118"/>
        <v/>
      </c>
      <c r="K1446" s="391" t="str">
        <f t="shared" si="119"/>
        <v/>
      </c>
    </row>
    <row r="1447" spans="8:11">
      <c r="H1447" s="391" t="str">
        <f t="shared" si="116"/>
        <v/>
      </c>
      <c r="I1447" s="391" t="str">
        <f t="shared" si="117"/>
        <v/>
      </c>
      <c r="J1447" s="391" t="str">
        <f t="shared" si="118"/>
        <v/>
      </c>
      <c r="K1447" s="391" t="str">
        <f t="shared" si="119"/>
        <v/>
      </c>
    </row>
    <row r="1448" spans="8:11">
      <c r="H1448" s="391" t="str">
        <f t="shared" si="116"/>
        <v/>
      </c>
      <c r="I1448" s="391" t="str">
        <f t="shared" si="117"/>
        <v/>
      </c>
      <c r="J1448" s="391" t="str">
        <f t="shared" si="118"/>
        <v/>
      </c>
      <c r="K1448" s="391" t="str">
        <f t="shared" si="119"/>
        <v/>
      </c>
    </row>
    <row r="1449" spans="8:11">
      <c r="H1449" s="391" t="str">
        <f t="shared" ref="H1449:H1512" si="120">IF($C471="","",ROUND(($B$2*$F471*($B$5/1000))/$B$6,2))</f>
        <v/>
      </c>
      <c r="I1449" s="391" t="str">
        <f t="shared" ref="I1449:I1512" si="121">IF($C471="","",ROUND(($B$3*$F471*($B$5/1000))/$B$6,2))</f>
        <v/>
      </c>
      <c r="J1449" s="391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1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>
      <c r="H1450" s="391" t="str">
        <f t="shared" si="120"/>
        <v/>
      </c>
      <c r="I1450" s="391" t="str">
        <f t="shared" si="121"/>
        <v/>
      </c>
      <c r="J1450" s="391" t="str">
        <f t="shared" si="122"/>
        <v/>
      </c>
      <c r="K1450" s="391" t="str">
        <f t="shared" si="123"/>
        <v/>
      </c>
    </row>
    <row r="1451" spans="8:11">
      <c r="H1451" s="391" t="str">
        <f t="shared" si="120"/>
        <v/>
      </c>
      <c r="I1451" s="391" t="str">
        <f t="shared" si="121"/>
        <v/>
      </c>
      <c r="J1451" s="391" t="str">
        <f t="shared" si="122"/>
        <v/>
      </c>
      <c r="K1451" s="391" t="str">
        <f t="shared" si="123"/>
        <v/>
      </c>
    </row>
    <row r="1452" spans="8:11">
      <c r="H1452" s="391" t="str">
        <f t="shared" si="120"/>
        <v/>
      </c>
      <c r="I1452" s="391" t="str">
        <f t="shared" si="121"/>
        <v/>
      </c>
      <c r="J1452" s="391" t="str">
        <f t="shared" si="122"/>
        <v/>
      </c>
      <c r="K1452" s="391" t="str">
        <f t="shared" si="123"/>
        <v/>
      </c>
    </row>
    <row r="1453" spans="8:11">
      <c r="H1453" s="391" t="str">
        <f t="shared" si="120"/>
        <v/>
      </c>
      <c r="I1453" s="391" t="str">
        <f t="shared" si="121"/>
        <v/>
      </c>
      <c r="J1453" s="391" t="str">
        <f t="shared" si="122"/>
        <v/>
      </c>
      <c r="K1453" s="391" t="str">
        <f t="shared" si="123"/>
        <v/>
      </c>
    </row>
    <row r="1454" spans="8:11">
      <c r="H1454" s="391" t="str">
        <f t="shared" si="120"/>
        <v/>
      </c>
      <c r="I1454" s="391" t="str">
        <f t="shared" si="121"/>
        <v/>
      </c>
      <c r="J1454" s="391" t="str">
        <f t="shared" si="122"/>
        <v/>
      </c>
      <c r="K1454" s="391" t="str">
        <f t="shared" si="123"/>
        <v/>
      </c>
    </row>
    <row r="1455" spans="8:11">
      <c r="H1455" s="391" t="str">
        <f t="shared" si="120"/>
        <v/>
      </c>
      <c r="I1455" s="391" t="str">
        <f t="shared" si="121"/>
        <v/>
      </c>
      <c r="J1455" s="391" t="str">
        <f t="shared" si="122"/>
        <v/>
      </c>
      <c r="K1455" s="391" t="str">
        <f t="shared" si="123"/>
        <v/>
      </c>
    </row>
    <row r="1456" spans="8:11">
      <c r="H1456" s="391" t="str">
        <f t="shared" si="120"/>
        <v/>
      </c>
      <c r="I1456" s="391" t="str">
        <f t="shared" si="121"/>
        <v/>
      </c>
      <c r="J1456" s="391" t="str">
        <f t="shared" si="122"/>
        <v/>
      </c>
      <c r="K1456" s="391" t="str">
        <f t="shared" si="123"/>
        <v/>
      </c>
    </row>
    <row r="1457" spans="8:11">
      <c r="H1457" s="391" t="str">
        <f t="shared" si="120"/>
        <v/>
      </c>
      <c r="I1457" s="391" t="str">
        <f t="shared" si="121"/>
        <v/>
      </c>
      <c r="J1457" s="391" t="str">
        <f t="shared" si="122"/>
        <v/>
      </c>
      <c r="K1457" s="391" t="str">
        <f t="shared" si="123"/>
        <v/>
      </c>
    </row>
    <row r="1458" spans="8:11">
      <c r="H1458" s="391" t="str">
        <f t="shared" si="120"/>
        <v/>
      </c>
      <c r="I1458" s="391" t="str">
        <f t="shared" si="121"/>
        <v/>
      </c>
      <c r="J1458" s="391" t="str">
        <f t="shared" si="122"/>
        <v/>
      </c>
      <c r="K1458" s="391" t="str">
        <f t="shared" si="123"/>
        <v/>
      </c>
    </row>
    <row r="1459" spans="8:11">
      <c r="H1459" s="391" t="str">
        <f t="shared" si="120"/>
        <v/>
      </c>
      <c r="I1459" s="391" t="str">
        <f t="shared" si="121"/>
        <v/>
      </c>
      <c r="J1459" s="391" t="str">
        <f t="shared" si="122"/>
        <v/>
      </c>
      <c r="K1459" s="391" t="str">
        <f t="shared" si="123"/>
        <v/>
      </c>
    </row>
    <row r="1460" spans="8:11">
      <c r="H1460" s="391" t="str">
        <f t="shared" si="120"/>
        <v/>
      </c>
      <c r="I1460" s="391" t="str">
        <f t="shared" si="121"/>
        <v/>
      </c>
      <c r="J1460" s="391" t="str">
        <f t="shared" si="122"/>
        <v/>
      </c>
      <c r="K1460" s="391" t="str">
        <f t="shared" si="123"/>
        <v/>
      </c>
    </row>
    <row r="1461" spans="8:11">
      <c r="H1461" s="391" t="str">
        <f t="shared" si="120"/>
        <v/>
      </c>
      <c r="I1461" s="391" t="str">
        <f t="shared" si="121"/>
        <v/>
      </c>
      <c r="J1461" s="391" t="str">
        <f t="shared" si="122"/>
        <v/>
      </c>
      <c r="K1461" s="391" t="str">
        <f t="shared" si="123"/>
        <v/>
      </c>
    </row>
    <row r="1462" spans="8:11">
      <c r="H1462" s="391" t="str">
        <f t="shared" si="120"/>
        <v/>
      </c>
      <c r="I1462" s="391" t="str">
        <f t="shared" si="121"/>
        <v/>
      </c>
      <c r="J1462" s="391" t="str">
        <f t="shared" si="122"/>
        <v/>
      </c>
      <c r="K1462" s="391" t="str">
        <f t="shared" si="123"/>
        <v/>
      </c>
    </row>
    <row r="1463" spans="8:11">
      <c r="H1463" s="391" t="str">
        <f t="shared" si="120"/>
        <v/>
      </c>
      <c r="I1463" s="391" t="str">
        <f t="shared" si="121"/>
        <v/>
      </c>
      <c r="J1463" s="391" t="str">
        <f t="shared" si="122"/>
        <v/>
      </c>
      <c r="K1463" s="391" t="str">
        <f t="shared" si="123"/>
        <v/>
      </c>
    </row>
    <row r="1464" spans="8:11">
      <c r="H1464" s="391" t="str">
        <f t="shared" si="120"/>
        <v/>
      </c>
      <c r="I1464" s="391" t="str">
        <f t="shared" si="121"/>
        <v/>
      </c>
      <c r="J1464" s="391" t="str">
        <f t="shared" si="122"/>
        <v/>
      </c>
      <c r="K1464" s="391" t="str">
        <f t="shared" si="123"/>
        <v/>
      </c>
    </row>
    <row r="1465" spans="8:11">
      <c r="H1465" s="391" t="str">
        <f t="shared" si="120"/>
        <v/>
      </c>
      <c r="I1465" s="391" t="str">
        <f t="shared" si="121"/>
        <v/>
      </c>
      <c r="J1465" s="391" t="str">
        <f t="shared" si="122"/>
        <v/>
      </c>
      <c r="K1465" s="391" t="str">
        <f t="shared" si="123"/>
        <v/>
      </c>
    </row>
    <row r="1466" spans="8:11">
      <c r="H1466" s="391" t="str">
        <f t="shared" si="120"/>
        <v/>
      </c>
      <c r="I1466" s="391" t="str">
        <f t="shared" si="121"/>
        <v/>
      </c>
      <c r="J1466" s="391" t="str">
        <f t="shared" si="122"/>
        <v/>
      </c>
      <c r="K1466" s="391" t="str">
        <f t="shared" si="123"/>
        <v/>
      </c>
    </row>
    <row r="1467" spans="8:11">
      <c r="H1467" s="391" t="str">
        <f t="shared" si="120"/>
        <v/>
      </c>
      <c r="I1467" s="391" t="str">
        <f t="shared" si="121"/>
        <v/>
      </c>
      <c r="J1467" s="391" t="str">
        <f t="shared" si="122"/>
        <v/>
      </c>
      <c r="K1467" s="391" t="str">
        <f t="shared" si="123"/>
        <v/>
      </c>
    </row>
    <row r="1468" spans="8:11">
      <c r="H1468" s="391" t="str">
        <f t="shared" si="120"/>
        <v/>
      </c>
      <c r="I1468" s="391" t="str">
        <f t="shared" si="121"/>
        <v/>
      </c>
      <c r="J1468" s="391" t="str">
        <f t="shared" si="122"/>
        <v/>
      </c>
      <c r="K1468" s="391" t="str">
        <f t="shared" si="123"/>
        <v/>
      </c>
    </row>
    <row r="1469" spans="8:11">
      <c r="H1469" s="391" t="str">
        <f t="shared" si="120"/>
        <v/>
      </c>
      <c r="I1469" s="391" t="str">
        <f t="shared" si="121"/>
        <v/>
      </c>
      <c r="J1469" s="391" t="str">
        <f t="shared" si="122"/>
        <v/>
      </c>
      <c r="K1469" s="391" t="str">
        <f t="shared" si="123"/>
        <v/>
      </c>
    </row>
    <row r="1470" spans="8:11">
      <c r="H1470" s="391" t="str">
        <f t="shared" si="120"/>
        <v/>
      </c>
      <c r="I1470" s="391" t="str">
        <f t="shared" si="121"/>
        <v/>
      </c>
      <c r="J1470" s="391" t="str">
        <f t="shared" si="122"/>
        <v/>
      </c>
      <c r="K1470" s="391" t="str">
        <f t="shared" si="123"/>
        <v/>
      </c>
    </row>
    <row r="1471" spans="8:11">
      <c r="H1471" s="391" t="str">
        <f t="shared" si="120"/>
        <v/>
      </c>
      <c r="I1471" s="391" t="str">
        <f t="shared" si="121"/>
        <v/>
      </c>
      <c r="J1471" s="391" t="str">
        <f t="shared" si="122"/>
        <v/>
      </c>
      <c r="K1471" s="391" t="str">
        <f t="shared" si="123"/>
        <v/>
      </c>
    </row>
    <row r="1472" spans="8:11">
      <c r="H1472" s="391" t="str">
        <f t="shared" si="120"/>
        <v/>
      </c>
      <c r="I1472" s="391" t="str">
        <f t="shared" si="121"/>
        <v/>
      </c>
      <c r="J1472" s="391" t="str">
        <f t="shared" si="122"/>
        <v/>
      </c>
      <c r="K1472" s="391" t="str">
        <f t="shared" si="123"/>
        <v/>
      </c>
    </row>
    <row r="1473" spans="8:11">
      <c r="H1473" s="391" t="str">
        <f t="shared" si="120"/>
        <v/>
      </c>
      <c r="I1473" s="391" t="str">
        <f t="shared" si="121"/>
        <v/>
      </c>
      <c r="J1473" s="391" t="str">
        <f t="shared" si="122"/>
        <v/>
      </c>
      <c r="K1473" s="391" t="str">
        <f t="shared" si="123"/>
        <v/>
      </c>
    </row>
    <row r="1474" spans="8:11">
      <c r="H1474" s="391" t="str">
        <f t="shared" si="120"/>
        <v/>
      </c>
      <c r="I1474" s="391" t="str">
        <f t="shared" si="121"/>
        <v/>
      </c>
      <c r="J1474" s="391" t="str">
        <f t="shared" si="122"/>
        <v/>
      </c>
      <c r="K1474" s="391" t="str">
        <f t="shared" si="123"/>
        <v/>
      </c>
    </row>
    <row r="1475" spans="8:11">
      <c r="H1475" s="391" t="str">
        <f t="shared" si="120"/>
        <v/>
      </c>
      <c r="I1475" s="391" t="str">
        <f t="shared" si="121"/>
        <v/>
      </c>
      <c r="J1475" s="391" t="str">
        <f t="shared" si="122"/>
        <v/>
      </c>
      <c r="K1475" s="391" t="str">
        <f t="shared" si="123"/>
        <v/>
      </c>
    </row>
    <row r="1476" spans="8:11">
      <c r="H1476" s="391" t="str">
        <f t="shared" si="120"/>
        <v/>
      </c>
      <c r="I1476" s="391" t="str">
        <f t="shared" si="121"/>
        <v/>
      </c>
      <c r="J1476" s="391" t="str">
        <f t="shared" si="122"/>
        <v/>
      </c>
      <c r="K1476" s="391" t="str">
        <f t="shared" si="123"/>
        <v/>
      </c>
    </row>
    <row r="1477" spans="8:11">
      <c r="H1477" s="391" t="str">
        <f t="shared" si="120"/>
        <v/>
      </c>
      <c r="I1477" s="391" t="str">
        <f t="shared" si="121"/>
        <v/>
      </c>
      <c r="J1477" s="391" t="str">
        <f t="shared" si="122"/>
        <v/>
      </c>
      <c r="K1477" s="391" t="str">
        <f t="shared" si="123"/>
        <v/>
      </c>
    </row>
    <row r="1478" spans="8:11">
      <c r="H1478" s="391" t="str">
        <f t="shared" si="120"/>
        <v/>
      </c>
      <c r="I1478" s="391" t="str">
        <f t="shared" si="121"/>
        <v/>
      </c>
      <c r="J1478" s="391" t="str">
        <f t="shared" si="122"/>
        <v/>
      </c>
      <c r="K1478" s="391" t="str">
        <f t="shared" si="123"/>
        <v/>
      </c>
    </row>
    <row r="1479" spans="8:11">
      <c r="H1479" s="391" t="str">
        <f t="shared" si="120"/>
        <v/>
      </c>
      <c r="I1479" s="391" t="str">
        <f t="shared" si="121"/>
        <v/>
      </c>
      <c r="J1479" s="391" t="str">
        <f t="shared" si="122"/>
        <v/>
      </c>
      <c r="K1479" s="391" t="str">
        <f t="shared" si="123"/>
        <v/>
      </c>
    </row>
    <row r="1480" spans="8:11">
      <c r="H1480" s="391" t="str">
        <f t="shared" si="120"/>
        <v/>
      </c>
      <c r="I1480" s="391" t="str">
        <f t="shared" si="121"/>
        <v/>
      </c>
      <c r="J1480" s="391" t="str">
        <f t="shared" si="122"/>
        <v/>
      </c>
      <c r="K1480" s="391" t="str">
        <f t="shared" si="123"/>
        <v/>
      </c>
    </row>
    <row r="1481" spans="8:11">
      <c r="H1481" s="391" t="str">
        <f t="shared" si="120"/>
        <v/>
      </c>
      <c r="I1481" s="391" t="str">
        <f t="shared" si="121"/>
        <v/>
      </c>
      <c r="J1481" s="391" t="str">
        <f t="shared" si="122"/>
        <v/>
      </c>
      <c r="K1481" s="391" t="str">
        <f t="shared" si="123"/>
        <v/>
      </c>
    </row>
    <row r="1482" spans="8:11">
      <c r="H1482" s="391" t="str">
        <f t="shared" si="120"/>
        <v/>
      </c>
      <c r="I1482" s="391" t="str">
        <f t="shared" si="121"/>
        <v/>
      </c>
      <c r="J1482" s="391" t="str">
        <f t="shared" si="122"/>
        <v/>
      </c>
      <c r="K1482" s="391" t="str">
        <f t="shared" si="123"/>
        <v/>
      </c>
    </row>
    <row r="1483" spans="8:11">
      <c r="H1483" s="391" t="str">
        <f t="shared" si="120"/>
        <v/>
      </c>
      <c r="I1483" s="391" t="str">
        <f t="shared" si="121"/>
        <v/>
      </c>
      <c r="J1483" s="391" t="str">
        <f t="shared" si="122"/>
        <v/>
      </c>
      <c r="K1483" s="391" t="str">
        <f t="shared" si="123"/>
        <v/>
      </c>
    </row>
    <row r="1484" spans="8:11">
      <c r="H1484" s="391" t="str">
        <f t="shared" si="120"/>
        <v/>
      </c>
      <c r="I1484" s="391" t="str">
        <f t="shared" si="121"/>
        <v/>
      </c>
      <c r="J1484" s="391" t="str">
        <f t="shared" si="122"/>
        <v/>
      </c>
      <c r="K1484" s="391" t="str">
        <f t="shared" si="123"/>
        <v/>
      </c>
    </row>
    <row r="1485" spans="8:11">
      <c r="H1485" s="391" t="str">
        <f t="shared" si="120"/>
        <v/>
      </c>
      <c r="I1485" s="391" t="str">
        <f t="shared" si="121"/>
        <v/>
      </c>
      <c r="J1485" s="391" t="str">
        <f t="shared" si="122"/>
        <v/>
      </c>
      <c r="K1485" s="391" t="str">
        <f t="shared" si="123"/>
        <v/>
      </c>
    </row>
    <row r="1486" spans="8:11">
      <c r="H1486" s="391" t="str">
        <f t="shared" si="120"/>
        <v/>
      </c>
      <c r="I1486" s="391" t="str">
        <f t="shared" si="121"/>
        <v/>
      </c>
      <c r="J1486" s="391" t="str">
        <f t="shared" si="122"/>
        <v/>
      </c>
      <c r="K1486" s="391" t="str">
        <f t="shared" si="123"/>
        <v/>
      </c>
    </row>
    <row r="1487" spans="8:11">
      <c r="H1487" s="391" t="str">
        <f t="shared" si="120"/>
        <v/>
      </c>
      <c r="I1487" s="391" t="str">
        <f t="shared" si="121"/>
        <v/>
      </c>
      <c r="J1487" s="391" t="str">
        <f t="shared" si="122"/>
        <v/>
      </c>
      <c r="K1487" s="391" t="str">
        <f t="shared" si="123"/>
        <v/>
      </c>
    </row>
    <row r="1488" spans="8:11">
      <c r="H1488" s="391" t="str">
        <f t="shared" si="120"/>
        <v/>
      </c>
      <c r="I1488" s="391" t="str">
        <f t="shared" si="121"/>
        <v/>
      </c>
      <c r="J1488" s="391" t="str">
        <f t="shared" si="122"/>
        <v/>
      </c>
      <c r="K1488" s="391" t="str">
        <f t="shared" si="123"/>
        <v/>
      </c>
    </row>
    <row r="1489" spans="8:11">
      <c r="H1489" s="391" t="str">
        <f t="shared" si="120"/>
        <v/>
      </c>
      <c r="I1489" s="391" t="str">
        <f t="shared" si="121"/>
        <v/>
      </c>
      <c r="J1489" s="391" t="str">
        <f t="shared" si="122"/>
        <v/>
      </c>
      <c r="K1489" s="391" t="str">
        <f t="shared" si="123"/>
        <v/>
      </c>
    </row>
    <row r="1490" spans="8:11">
      <c r="H1490" s="391" t="str">
        <f t="shared" si="120"/>
        <v/>
      </c>
      <c r="I1490" s="391" t="str">
        <f t="shared" si="121"/>
        <v/>
      </c>
      <c r="J1490" s="391" t="str">
        <f t="shared" si="122"/>
        <v/>
      </c>
      <c r="K1490" s="391" t="str">
        <f t="shared" si="123"/>
        <v/>
      </c>
    </row>
    <row r="1491" spans="8:11">
      <c r="H1491" s="391" t="str">
        <f t="shared" si="120"/>
        <v/>
      </c>
      <c r="I1491" s="391" t="str">
        <f t="shared" si="121"/>
        <v/>
      </c>
      <c r="J1491" s="391" t="str">
        <f t="shared" si="122"/>
        <v/>
      </c>
      <c r="K1491" s="391" t="str">
        <f t="shared" si="123"/>
        <v/>
      </c>
    </row>
    <row r="1492" spans="8:11">
      <c r="H1492" s="391" t="str">
        <f t="shared" si="120"/>
        <v/>
      </c>
      <c r="I1492" s="391" t="str">
        <f t="shared" si="121"/>
        <v/>
      </c>
      <c r="J1492" s="391" t="str">
        <f t="shared" si="122"/>
        <v/>
      </c>
      <c r="K1492" s="391" t="str">
        <f t="shared" si="123"/>
        <v/>
      </c>
    </row>
    <row r="1493" spans="8:11">
      <c r="H1493" s="391" t="str">
        <f t="shared" si="120"/>
        <v/>
      </c>
      <c r="I1493" s="391" t="str">
        <f t="shared" si="121"/>
        <v/>
      </c>
      <c r="J1493" s="391" t="str">
        <f t="shared" si="122"/>
        <v/>
      </c>
      <c r="K1493" s="391" t="str">
        <f t="shared" si="123"/>
        <v/>
      </c>
    </row>
    <row r="1494" spans="8:11">
      <c r="H1494" s="391" t="str">
        <f t="shared" si="120"/>
        <v/>
      </c>
      <c r="I1494" s="391" t="str">
        <f t="shared" si="121"/>
        <v/>
      </c>
      <c r="J1494" s="391" t="str">
        <f t="shared" si="122"/>
        <v/>
      </c>
      <c r="K1494" s="391" t="str">
        <f t="shared" si="123"/>
        <v/>
      </c>
    </row>
    <row r="1495" spans="8:11">
      <c r="H1495" s="391" t="str">
        <f t="shared" si="120"/>
        <v/>
      </c>
      <c r="I1495" s="391" t="str">
        <f t="shared" si="121"/>
        <v/>
      </c>
      <c r="J1495" s="391" t="str">
        <f t="shared" si="122"/>
        <v/>
      </c>
      <c r="K1495" s="391" t="str">
        <f t="shared" si="123"/>
        <v/>
      </c>
    </row>
    <row r="1496" spans="8:11">
      <c r="H1496" s="391" t="str">
        <f t="shared" si="120"/>
        <v/>
      </c>
      <c r="I1496" s="391" t="str">
        <f t="shared" si="121"/>
        <v/>
      </c>
      <c r="J1496" s="391" t="str">
        <f t="shared" si="122"/>
        <v/>
      </c>
      <c r="K1496" s="391" t="str">
        <f t="shared" si="123"/>
        <v/>
      </c>
    </row>
    <row r="1497" spans="8:11">
      <c r="H1497" s="391" t="str">
        <f t="shared" si="120"/>
        <v/>
      </c>
      <c r="I1497" s="391" t="str">
        <f t="shared" si="121"/>
        <v/>
      </c>
      <c r="J1497" s="391" t="str">
        <f t="shared" si="122"/>
        <v/>
      </c>
      <c r="K1497" s="391" t="str">
        <f t="shared" si="123"/>
        <v/>
      </c>
    </row>
    <row r="1498" spans="8:11">
      <c r="H1498" s="391" t="str">
        <f t="shared" si="120"/>
        <v/>
      </c>
      <c r="I1498" s="391" t="str">
        <f t="shared" si="121"/>
        <v/>
      </c>
      <c r="J1498" s="391" t="str">
        <f t="shared" si="122"/>
        <v/>
      </c>
      <c r="K1498" s="391" t="str">
        <f t="shared" si="123"/>
        <v/>
      </c>
    </row>
    <row r="1499" spans="8:11">
      <c r="H1499" s="391" t="str">
        <f t="shared" si="120"/>
        <v/>
      </c>
      <c r="I1499" s="391" t="str">
        <f t="shared" si="121"/>
        <v/>
      </c>
      <c r="J1499" s="391" t="str">
        <f t="shared" si="122"/>
        <v/>
      </c>
      <c r="K1499" s="391" t="str">
        <f t="shared" si="123"/>
        <v/>
      </c>
    </row>
    <row r="1500" spans="8:11">
      <c r="H1500" s="391" t="str">
        <f t="shared" si="120"/>
        <v/>
      </c>
      <c r="I1500" s="391" t="str">
        <f t="shared" si="121"/>
        <v/>
      </c>
      <c r="J1500" s="391" t="str">
        <f t="shared" si="122"/>
        <v/>
      </c>
      <c r="K1500" s="391" t="str">
        <f t="shared" si="123"/>
        <v/>
      </c>
    </row>
    <row r="1501" spans="8:11">
      <c r="H1501" s="391" t="str">
        <f t="shared" si="120"/>
        <v/>
      </c>
      <c r="I1501" s="391" t="str">
        <f t="shared" si="121"/>
        <v/>
      </c>
      <c r="J1501" s="391" t="str">
        <f t="shared" si="122"/>
        <v/>
      </c>
      <c r="K1501" s="391" t="str">
        <f t="shared" si="123"/>
        <v/>
      </c>
    </row>
    <row r="1502" spans="8:11">
      <c r="H1502" s="391" t="str">
        <f t="shared" si="120"/>
        <v/>
      </c>
      <c r="I1502" s="391" t="str">
        <f t="shared" si="121"/>
        <v/>
      </c>
      <c r="J1502" s="391" t="str">
        <f t="shared" si="122"/>
        <v/>
      </c>
      <c r="K1502" s="391" t="str">
        <f t="shared" si="123"/>
        <v/>
      </c>
    </row>
    <row r="1503" spans="8:11">
      <c r="H1503" s="391" t="str">
        <f t="shared" si="120"/>
        <v/>
      </c>
      <c r="I1503" s="391" t="str">
        <f t="shared" si="121"/>
        <v/>
      </c>
      <c r="J1503" s="391" t="str">
        <f t="shared" si="122"/>
        <v/>
      </c>
      <c r="K1503" s="391" t="str">
        <f t="shared" si="123"/>
        <v/>
      </c>
    </row>
    <row r="1504" spans="8:11">
      <c r="H1504" s="391" t="str">
        <f t="shared" si="120"/>
        <v/>
      </c>
      <c r="I1504" s="391" t="str">
        <f t="shared" si="121"/>
        <v/>
      </c>
      <c r="J1504" s="391" t="str">
        <f t="shared" si="122"/>
        <v/>
      </c>
      <c r="K1504" s="391" t="str">
        <f t="shared" si="123"/>
        <v/>
      </c>
    </row>
    <row r="1505" spans="8:11">
      <c r="H1505" s="391" t="str">
        <f t="shared" si="120"/>
        <v/>
      </c>
      <c r="I1505" s="391" t="str">
        <f t="shared" si="121"/>
        <v/>
      </c>
      <c r="J1505" s="391" t="str">
        <f t="shared" si="122"/>
        <v/>
      </c>
      <c r="K1505" s="391" t="str">
        <f t="shared" si="123"/>
        <v/>
      </c>
    </row>
    <row r="1506" spans="8:11">
      <c r="H1506" s="391" t="str">
        <f t="shared" si="120"/>
        <v/>
      </c>
      <c r="I1506" s="391" t="str">
        <f t="shared" si="121"/>
        <v/>
      </c>
      <c r="J1506" s="391" t="str">
        <f t="shared" si="122"/>
        <v/>
      </c>
      <c r="K1506" s="391" t="str">
        <f t="shared" si="123"/>
        <v/>
      </c>
    </row>
    <row r="1507" spans="8:11">
      <c r="H1507" s="391" t="str">
        <f t="shared" si="120"/>
        <v/>
      </c>
      <c r="I1507" s="391" t="str">
        <f t="shared" si="121"/>
        <v/>
      </c>
      <c r="J1507" s="391" t="str">
        <f t="shared" si="122"/>
        <v/>
      </c>
      <c r="K1507" s="391" t="str">
        <f t="shared" si="123"/>
        <v/>
      </c>
    </row>
    <row r="1508" spans="8:11">
      <c r="H1508" s="391" t="str">
        <f t="shared" si="120"/>
        <v/>
      </c>
      <c r="I1508" s="391" t="str">
        <f t="shared" si="121"/>
        <v/>
      </c>
      <c r="J1508" s="391" t="str">
        <f t="shared" si="122"/>
        <v/>
      </c>
      <c r="K1508" s="391" t="str">
        <f t="shared" si="123"/>
        <v/>
      </c>
    </row>
    <row r="1509" spans="8:11">
      <c r="H1509" s="391" t="str">
        <f t="shared" si="120"/>
        <v/>
      </c>
      <c r="I1509" s="391" t="str">
        <f t="shared" si="121"/>
        <v/>
      </c>
      <c r="J1509" s="391" t="str">
        <f t="shared" si="122"/>
        <v/>
      </c>
      <c r="K1509" s="391" t="str">
        <f t="shared" si="123"/>
        <v/>
      </c>
    </row>
    <row r="1510" spans="8:11">
      <c r="H1510" s="391" t="str">
        <f t="shared" si="120"/>
        <v/>
      </c>
      <c r="I1510" s="391" t="str">
        <f t="shared" si="121"/>
        <v/>
      </c>
      <c r="J1510" s="391" t="str">
        <f t="shared" si="122"/>
        <v/>
      </c>
      <c r="K1510" s="391" t="str">
        <f t="shared" si="123"/>
        <v/>
      </c>
    </row>
    <row r="1511" spans="8:11">
      <c r="H1511" s="391" t="str">
        <f t="shared" si="120"/>
        <v/>
      </c>
      <c r="I1511" s="391" t="str">
        <f t="shared" si="121"/>
        <v/>
      </c>
      <c r="J1511" s="391" t="str">
        <f t="shared" si="122"/>
        <v/>
      </c>
      <c r="K1511" s="391" t="str">
        <f t="shared" si="123"/>
        <v/>
      </c>
    </row>
    <row r="1512" spans="8:11">
      <c r="H1512" s="391" t="str">
        <f t="shared" si="120"/>
        <v/>
      </c>
      <c r="I1512" s="391" t="str">
        <f t="shared" si="121"/>
        <v/>
      </c>
      <c r="J1512" s="391" t="str">
        <f t="shared" si="122"/>
        <v/>
      </c>
      <c r="K1512" s="391" t="str">
        <f t="shared" si="123"/>
        <v/>
      </c>
    </row>
    <row r="1513" spans="8:11">
      <c r="H1513" s="391" t="str">
        <f t="shared" ref="H1513:H1576" si="124">IF($C535="","",ROUND(($B$2*$F535*($B$5/1000))/$B$6,2))</f>
        <v/>
      </c>
      <c r="I1513" s="391" t="str">
        <f t="shared" ref="I1513:I1576" si="125">IF($C535="","",ROUND(($B$3*$F535*($B$5/1000))/$B$6,2))</f>
        <v/>
      </c>
      <c r="J1513" s="391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1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>
      <c r="H1514" s="391" t="str">
        <f t="shared" si="124"/>
        <v/>
      </c>
      <c r="I1514" s="391" t="str">
        <f t="shared" si="125"/>
        <v/>
      </c>
      <c r="J1514" s="391" t="str">
        <f t="shared" si="126"/>
        <v/>
      </c>
      <c r="K1514" s="391" t="str">
        <f t="shared" si="127"/>
        <v/>
      </c>
    </row>
    <row r="1515" spans="8:11">
      <c r="H1515" s="391" t="str">
        <f t="shared" si="124"/>
        <v/>
      </c>
      <c r="I1515" s="391" t="str">
        <f t="shared" si="125"/>
        <v/>
      </c>
      <c r="J1515" s="391" t="str">
        <f t="shared" si="126"/>
        <v/>
      </c>
      <c r="K1515" s="391" t="str">
        <f t="shared" si="127"/>
        <v/>
      </c>
    </row>
    <row r="1516" spans="8:11">
      <c r="H1516" s="391" t="str">
        <f t="shared" si="124"/>
        <v/>
      </c>
      <c r="I1516" s="391" t="str">
        <f t="shared" si="125"/>
        <v/>
      </c>
      <c r="J1516" s="391" t="str">
        <f t="shared" si="126"/>
        <v/>
      </c>
      <c r="K1516" s="391" t="str">
        <f t="shared" si="127"/>
        <v/>
      </c>
    </row>
    <row r="1517" spans="8:11">
      <c r="H1517" s="391" t="str">
        <f t="shared" si="124"/>
        <v/>
      </c>
      <c r="I1517" s="391" t="str">
        <f t="shared" si="125"/>
        <v/>
      </c>
      <c r="J1517" s="391" t="str">
        <f t="shared" si="126"/>
        <v/>
      </c>
      <c r="K1517" s="391" t="str">
        <f t="shared" si="127"/>
        <v/>
      </c>
    </row>
    <row r="1518" spans="8:11">
      <c r="H1518" s="391" t="str">
        <f t="shared" si="124"/>
        <v/>
      </c>
      <c r="I1518" s="391" t="str">
        <f t="shared" si="125"/>
        <v/>
      </c>
      <c r="J1518" s="391" t="str">
        <f t="shared" si="126"/>
        <v/>
      </c>
      <c r="K1518" s="391" t="str">
        <f t="shared" si="127"/>
        <v/>
      </c>
    </row>
    <row r="1519" spans="8:11">
      <c r="H1519" s="391" t="str">
        <f t="shared" si="124"/>
        <v/>
      </c>
      <c r="I1519" s="391" t="str">
        <f t="shared" si="125"/>
        <v/>
      </c>
      <c r="J1519" s="391" t="str">
        <f t="shared" si="126"/>
        <v/>
      </c>
      <c r="K1519" s="391" t="str">
        <f t="shared" si="127"/>
        <v/>
      </c>
    </row>
    <row r="1520" spans="8:11">
      <c r="H1520" s="391" t="str">
        <f t="shared" si="124"/>
        <v/>
      </c>
      <c r="I1520" s="391" t="str">
        <f t="shared" si="125"/>
        <v/>
      </c>
      <c r="J1520" s="391" t="str">
        <f t="shared" si="126"/>
        <v/>
      </c>
      <c r="K1520" s="391" t="str">
        <f t="shared" si="127"/>
        <v/>
      </c>
    </row>
    <row r="1521" spans="8:11">
      <c r="H1521" s="391" t="str">
        <f t="shared" si="124"/>
        <v/>
      </c>
      <c r="I1521" s="391" t="str">
        <f t="shared" si="125"/>
        <v/>
      </c>
      <c r="J1521" s="391" t="str">
        <f t="shared" si="126"/>
        <v/>
      </c>
      <c r="K1521" s="391" t="str">
        <f t="shared" si="127"/>
        <v/>
      </c>
    </row>
    <row r="1522" spans="8:11">
      <c r="H1522" s="391" t="str">
        <f t="shared" si="124"/>
        <v/>
      </c>
      <c r="I1522" s="391" t="str">
        <f t="shared" si="125"/>
        <v/>
      </c>
      <c r="J1522" s="391" t="str">
        <f t="shared" si="126"/>
        <v/>
      </c>
      <c r="K1522" s="391" t="str">
        <f t="shared" si="127"/>
        <v/>
      </c>
    </row>
    <row r="1523" spans="8:11">
      <c r="H1523" s="391" t="str">
        <f t="shared" si="124"/>
        <v/>
      </c>
      <c r="I1523" s="391" t="str">
        <f t="shared" si="125"/>
        <v/>
      </c>
      <c r="J1523" s="391" t="str">
        <f t="shared" si="126"/>
        <v/>
      </c>
      <c r="K1523" s="391" t="str">
        <f t="shared" si="127"/>
        <v/>
      </c>
    </row>
    <row r="1524" spans="8:11">
      <c r="H1524" s="391" t="str">
        <f t="shared" si="124"/>
        <v/>
      </c>
      <c r="I1524" s="391" t="str">
        <f t="shared" si="125"/>
        <v/>
      </c>
      <c r="J1524" s="391" t="str">
        <f t="shared" si="126"/>
        <v/>
      </c>
      <c r="K1524" s="391" t="str">
        <f t="shared" si="127"/>
        <v/>
      </c>
    </row>
    <row r="1525" spans="8:11">
      <c r="H1525" s="391" t="str">
        <f t="shared" si="124"/>
        <v/>
      </c>
      <c r="I1525" s="391" t="str">
        <f t="shared" si="125"/>
        <v/>
      </c>
      <c r="J1525" s="391" t="str">
        <f t="shared" si="126"/>
        <v/>
      </c>
      <c r="K1525" s="391" t="str">
        <f t="shared" si="127"/>
        <v/>
      </c>
    </row>
    <row r="1526" spans="8:11">
      <c r="H1526" s="391" t="str">
        <f t="shared" si="124"/>
        <v/>
      </c>
      <c r="I1526" s="391" t="str">
        <f t="shared" si="125"/>
        <v/>
      </c>
      <c r="J1526" s="391" t="str">
        <f t="shared" si="126"/>
        <v/>
      </c>
      <c r="K1526" s="391" t="str">
        <f t="shared" si="127"/>
        <v/>
      </c>
    </row>
    <row r="1527" spans="8:11">
      <c r="H1527" s="391" t="str">
        <f t="shared" si="124"/>
        <v/>
      </c>
      <c r="I1527" s="391" t="str">
        <f t="shared" si="125"/>
        <v/>
      </c>
      <c r="J1527" s="391" t="str">
        <f t="shared" si="126"/>
        <v/>
      </c>
      <c r="K1527" s="391" t="str">
        <f t="shared" si="127"/>
        <v/>
      </c>
    </row>
    <row r="1528" spans="8:11">
      <c r="H1528" s="391" t="str">
        <f t="shared" si="124"/>
        <v/>
      </c>
      <c r="I1528" s="391" t="str">
        <f t="shared" si="125"/>
        <v/>
      </c>
      <c r="J1528" s="391" t="str">
        <f t="shared" si="126"/>
        <v/>
      </c>
      <c r="K1528" s="391" t="str">
        <f t="shared" si="127"/>
        <v/>
      </c>
    </row>
    <row r="1529" spans="8:11">
      <c r="H1529" s="391" t="str">
        <f t="shared" si="124"/>
        <v/>
      </c>
      <c r="I1529" s="391" t="str">
        <f t="shared" si="125"/>
        <v/>
      </c>
      <c r="J1529" s="391" t="str">
        <f t="shared" si="126"/>
        <v/>
      </c>
      <c r="K1529" s="391" t="str">
        <f t="shared" si="127"/>
        <v/>
      </c>
    </row>
    <row r="1530" spans="8:11">
      <c r="H1530" s="391" t="str">
        <f t="shared" si="124"/>
        <v/>
      </c>
      <c r="I1530" s="391" t="str">
        <f t="shared" si="125"/>
        <v/>
      </c>
      <c r="J1530" s="391" t="str">
        <f t="shared" si="126"/>
        <v/>
      </c>
      <c r="K1530" s="391" t="str">
        <f t="shared" si="127"/>
        <v/>
      </c>
    </row>
    <row r="1531" spans="8:11">
      <c r="H1531" s="391" t="str">
        <f t="shared" si="124"/>
        <v/>
      </c>
      <c r="I1531" s="391" t="str">
        <f t="shared" si="125"/>
        <v/>
      </c>
      <c r="J1531" s="391" t="str">
        <f t="shared" si="126"/>
        <v/>
      </c>
      <c r="K1531" s="391" t="str">
        <f t="shared" si="127"/>
        <v/>
      </c>
    </row>
    <row r="1532" spans="8:11">
      <c r="H1532" s="391" t="str">
        <f t="shared" si="124"/>
        <v/>
      </c>
      <c r="I1532" s="391" t="str">
        <f t="shared" si="125"/>
        <v/>
      </c>
      <c r="J1532" s="391" t="str">
        <f t="shared" si="126"/>
        <v/>
      </c>
      <c r="K1532" s="391" t="str">
        <f t="shared" si="127"/>
        <v/>
      </c>
    </row>
    <row r="1533" spans="8:11">
      <c r="H1533" s="391" t="str">
        <f t="shared" si="124"/>
        <v/>
      </c>
      <c r="I1533" s="391" t="str">
        <f t="shared" si="125"/>
        <v/>
      </c>
      <c r="J1533" s="391" t="str">
        <f t="shared" si="126"/>
        <v/>
      </c>
      <c r="K1533" s="391" t="str">
        <f t="shared" si="127"/>
        <v/>
      </c>
    </row>
    <row r="1534" spans="8:11">
      <c r="H1534" s="391" t="str">
        <f t="shared" si="124"/>
        <v/>
      </c>
      <c r="I1534" s="391" t="str">
        <f t="shared" si="125"/>
        <v/>
      </c>
      <c r="J1534" s="391" t="str">
        <f t="shared" si="126"/>
        <v/>
      </c>
      <c r="K1534" s="391" t="str">
        <f t="shared" si="127"/>
        <v/>
      </c>
    </row>
    <row r="1535" spans="8:11">
      <c r="H1535" s="391" t="str">
        <f t="shared" si="124"/>
        <v/>
      </c>
      <c r="I1535" s="391" t="str">
        <f t="shared" si="125"/>
        <v/>
      </c>
      <c r="J1535" s="391" t="str">
        <f t="shared" si="126"/>
        <v/>
      </c>
      <c r="K1535" s="391" t="str">
        <f t="shared" si="127"/>
        <v/>
      </c>
    </row>
    <row r="1536" spans="8:11">
      <c r="H1536" s="391" t="str">
        <f t="shared" si="124"/>
        <v/>
      </c>
      <c r="I1536" s="391" t="str">
        <f t="shared" si="125"/>
        <v/>
      </c>
      <c r="J1536" s="391" t="str">
        <f t="shared" si="126"/>
        <v/>
      </c>
      <c r="K1536" s="391" t="str">
        <f t="shared" si="127"/>
        <v/>
      </c>
    </row>
    <row r="1537" spans="8:11">
      <c r="H1537" s="391" t="str">
        <f t="shared" si="124"/>
        <v/>
      </c>
      <c r="I1537" s="391" t="str">
        <f t="shared" si="125"/>
        <v/>
      </c>
      <c r="J1537" s="391" t="str">
        <f t="shared" si="126"/>
        <v/>
      </c>
      <c r="K1537" s="391" t="str">
        <f t="shared" si="127"/>
        <v/>
      </c>
    </row>
    <row r="1538" spans="8:11">
      <c r="H1538" s="391" t="str">
        <f t="shared" si="124"/>
        <v/>
      </c>
      <c r="I1538" s="391" t="str">
        <f t="shared" si="125"/>
        <v/>
      </c>
      <c r="J1538" s="391" t="str">
        <f t="shared" si="126"/>
        <v/>
      </c>
      <c r="K1538" s="391" t="str">
        <f t="shared" si="127"/>
        <v/>
      </c>
    </row>
    <row r="1539" spans="8:11">
      <c r="H1539" s="391" t="str">
        <f t="shared" si="124"/>
        <v/>
      </c>
      <c r="I1539" s="391" t="str">
        <f t="shared" si="125"/>
        <v/>
      </c>
      <c r="J1539" s="391" t="str">
        <f t="shared" si="126"/>
        <v/>
      </c>
      <c r="K1539" s="391" t="str">
        <f t="shared" si="127"/>
        <v/>
      </c>
    </row>
    <row r="1540" spans="8:11">
      <c r="H1540" s="391" t="str">
        <f t="shared" si="124"/>
        <v/>
      </c>
      <c r="I1540" s="391" t="str">
        <f t="shared" si="125"/>
        <v/>
      </c>
      <c r="J1540" s="391" t="str">
        <f t="shared" si="126"/>
        <v/>
      </c>
      <c r="K1540" s="391" t="str">
        <f t="shared" si="127"/>
        <v/>
      </c>
    </row>
    <row r="1541" spans="8:11">
      <c r="H1541" s="391" t="str">
        <f t="shared" si="124"/>
        <v/>
      </c>
      <c r="I1541" s="391" t="str">
        <f t="shared" si="125"/>
        <v/>
      </c>
      <c r="J1541" s="391" t="str">
        <f t="shared" si="126"/>
        <v/>
      </c>
      <c r="K1541" s="391" t="str">
        <f t="shared" si="127"/>
        <v/>
      </c>
    </row>
    <row r="1542" spans="8:11">
      <c r="H1542" s="391" t="str">
        <f t="shared" si="124"/>
        <v/>
      </c>
      <c r="I1542" s="391" t="str">
        <f t="shared" si="125"/>
        <v/>
      </c>
      <c r="J1542" s="391" t="str">
        <f t="shared" si="126"/>
        <v/>
      </c>
      <c r="K1542" s="391" t="str">
        <f t="shared" si="127"/>
        <v/>
      </c>
    </row>
    <row r="1543" spans="8:11">
      <c r="H1543" s="391" t="str">
        <f t="shared" si="124"/>
        <v/>
      </c>
      <c r="I1543" s="391" t="str">
        <f t="shared" si="125"/>
        <v/>
      </c>
      <c r="J1543" s="391" t="str">
        <f t="shared" si="126"/>
        <v/>
      </c>
      <c r="K1543" s="391" t="str">
        <f t="shared" si="127"/>
        <v/>
      </c>
    </row>
    <row r="1544" spans="8:11">
      <c r="H1544" s="391" t="str">
        <f t="shared" si="124"/>
        <v/>
      </c>
      <c r="I1544" s="391" t="str">
        <f t="shared" si="125"/>
        <v/>
      </c>
      <c r="J1544" s="391" t="str">
        <f t="shared" si="126"/>
        <v/>
      </c>
      <c r="K1544" s="391" t="str">
        <f t="shared" si="127"/>
        <v/>
      </c>
    </row>
    <row r="1545" spans="8:11">
      <c r="H1545" s="391" t="str">
        <f t="shared" si="124"/>
        <v/>
      </c>
      <c r="I1545" s="391" t="str">
        <f t="shared" si="125"/>
        <v/>
      </c>
      <c r="J1545" s="391" t="str">
        <f t="shared" si="126"/>
        <v/>
      </c>
      <c r="K1545" s="391" t="str">
        <f t="shared" si="127"/>
        <v/>
      </c>
    </row>
    <row r="1546" spans="8:11">
      <c r="H1546" s="391" t="str">
        <f t="shared" si="124"/>
        <v/>
      </c>
      <c r="I1546" s="391" t="str">
        <f t="shared" si="125"/>
        <v/>
      </c>
      <c r="J1546" s="391" t="str">
        <f t="shared" si="126"/>
        <v/>
      </c>
      <c r="K1546" s="391" t="str">
        <f t="shared" si="127"/>
        <v/>
      </c>
    </row>
    <row r="1547" spans="8:11">
      <c r="H1547" s="391" t="str">
        <f t="shared" si="124"/>
        <v/>
      </c>
      <c r="I1547" s="391" t="str">
        <f t="shared" si="125"/>
        <v/>
      </c>
      <c r="J1547" s="391" t="str">
        <f t="shared" si="126"/>
        <v/>
      </c>
      <c r="K1547" s="391" t="str">
        <f t="shared" si="127"/>
        <v/>
      </c>
    </row>
    <row r="1548" spans="8:11">
      <c r="H1548" s="391" t="str">
        <f t="shared" si="124"/>
        <v/>
      </c>
      <c r="I1548" s="391" t="str">
        <f t="shared" si="125"/>
        <v/>
      </c>
      <c r="J1548" s="391" t="str">
        <f t="shared" si="126"/>
        <v/>
      </c>
      <c r="K1548" s="391" t="str">
        <f t="shared" si="127"/>
        <v/>
      </c>
    </row>
    <row r="1549" spans="8:11">
      <c r="H1549" s="391" t="str">
        <f t="shared" si="124"/>
        <v/>
      </c>
      <c r="I1549" s="391" t="str">
        <f t="shared" si="125"/>
        <v/>
      </c>
      <c r="J1549" s="391" t="str">
        <f t="shared" si="126"/>
        <v/>
      </c>
      <c r="K1549" s="391" t="str">
        <f t="shared" si="127"/>
        <v/>
      </c>
    </row>
    <row r="1550" spans="8:11">
      <c r="H1550" s="391" t="str">
        <f t="shared" si="124"/>
        <v/>
      </c>
      <c r="I1550" s="391" t="str">
        <f t="shared" si="125"/>
        <v/>
      </c>
      <c r="J1550" s="391" t="str">
        <f t="shared" si="126"/>
        <v/>
      </c>
      <c r="K1550" s="391" t="str">
        <f t="shared" si="127"/>
        <v/>
      </c>
    </row>
    <row r="1551" spans="8:11">
      <c r="H1551" s="391" t="str">
        <f t="shared" si="124"/>
        <v/>
      </c>
      <c r="I1551" s="391" t="str">
        <f t="shared" si="125"/>
        <v/>
      </c>
      <c r="J1551" s="391" t="str">
        <f t="shared" si="126"/>
        <v/>
      </c>
      <c r="K1551" s="391" t="str">
        <f t="shared" si="127"/>
        <v/>
      </c>
    </row>
    <row r="1552" spans="8:11">
      <c r="H1552" s="391" t="str">
        <f t="shared" si="124"/>
        <v/>
      </c>
      <c r="I1552" s="391" t="str">
        <f t="shared" si="125"/>
        <v/>
      </c>
      <c r="J1552" s="391" t="str">
        <f t="shared" si="126"/>
        <v/>
      </c>
      <c r="K1552" s="391" t="str">
        <f t="shared" si="127"/>
        <v/>
      </c>
    </row>
    <row r="1553" spans="8:11">
      <c r="H1553" s="391" t="str">
        <f t="shared" si="124"/>
        <v/>
      </c>
      <c r="I1553" s="391" t="str">
        <f t="shared" si="125"/>
        <v/>
      </c>
      <c r="J1553" s="391" t="str">
        <f t="shared" si="126"/>
        <v/>
      </c>
      <c r="K1553" s="391" t="str">
        <f t="shared" si="127"/>
        <v/>
      </c>
    </row>
    <row r="1554" spans="8:11">
      <c r="H1554" s="391" t="str">
        <f t="shared" si="124"/>
        <v/>
      </c>
      <c r="I1554" s="391" t="str">
        <f t="shared" si="125"/>
        <v/>
      </c>
      <c r="J1554" s="391" t="str">
        <f t="shared" si="126"/>
        <v/>
      </c>
      <c r="K1554" s="391" t="str">
        <f t="shared" si="127"/>
        <v/>
      </c>
    </row>
    <row r="1555" spans="8:11">
      <c r="H1555" s="391" t="str">
        <f t="shared" si="124"/>
        <v/>
      </c>
      <c r="I1555" s="391" t="str">
        <f t="shared" si="125"/>
        <v/>
      </c>
      <c r="J1555" s="391" t="str">
        <f t="shared" si="126"/>
        <v/>
      </c>
      <c r="K1555" s="391" t="str">
        <f t="shared" si="127"/>
        <v/>
      </c>
    </row>
    <row r="1556" spans="8:11">
      <c r="H1556" s="391" t="str">
        <f t="shared" si="124"/>
        <v/>
      </c>
      <c r="I1556" s="391" t="str">
        <f t="shared" si="125"/>
        <v/>
      </c>
      <c r="J1556" s="391" t="str">
        <f t="shared" si="126"/>
        <v/>
      </c>
      <c r="K1556" s="391" t="str">
        <f t="shared" si="127"/>
        <v/>
      </c>
    </row>
    <row r="1557" spans="8:11">
      <c r="H1557" s="391" t="str">
        <f t="shared" si="124"/>
        <v/>
      </c>
      <c r="I1557" s="391" t="str">
        <f t="shared" si="125"/>
        <v/>
      </c>
      <c r="J1557" s="391" t="str">
        <f t="shared" si="126"/>
        <v/>
      </c>
      <c r="K1557" s="391" t="str">
        <f t="shared" si="127"/>
        <v/>
      </c>
    </row>
    <row r="1558" spans="8:11">
      <c r="H1558" s="391" t="str">
        <f t="shared" si="124"/>
        <v/>
      </c>
      <c r="I1558" s="391" t="str">
        <f t="shared" si="125"/>
        <v/>
      </c>
      <c r="J1558" s="391" t="str">
        <f t="shared" si="126"/>
        <v/>
      </c>
      <c r="K1558" s="391" t="str">
        <f t="shared" si="127"/>
        <v/>
      </c>
    </row>
    <row r="1559" spans="8:11">
      <c r="H1559" s="391" t="str">
        <f t="shared" si="124"/>
        <v/>
      </c>
      <c r="I1559" s="391" t="str">
        <f t="shared" si="125"/>
        <v/>
      </c>
      <c r="J1559" s="391" t="str">
        <f t="shared" si="126"/>
        <v/>
      </c>
      <c r="K1559" s="391" t="str">
        <f t="shared" si="127"/>
        <v/>
      </c>
    </row>
    <row r="1560" spans="8:11">
      <c r="H1560" s="391" t="str">
        <f t="shared" si="124"/>
        <v/>
      </c>
      <c r="I1560" s="391" t="str">
        <f t="shared" si="125"/>
        <v/>
      </c>
      <c r="J1560" s="391" t="str">
        <f t="shared" si="126"/>
        <v/>
      </c>
      <c r="K1560" s="391" t="str">
        <f t="shared" si="127"/>
        <v/>
      </c>
    </row>
    <row r="1561" spans="8:11">
      <c r="H1561" s="391" t="str">
        <f t="shared" si="124"/>
        <v/>
      </c>
      <c r="I1561" s="391" t="str">
        <f t="shared" si="125"/>
        <v/>
      </c>
      <c r="J1561" s="391" t="str">
        <f t="shared" si="126"/>
        <v/>
      </c>
      <c r="K1561" s="391" t="str">
        <f t="shared" si="127"/>
        <v/>
      </c>
    </row>
    <row r="1562" spans="8:11">
      <c r="H1562" s="391" t="str">
        <f t="shared" si="124"/>
        <v/>
      </c>
      <c r="I1562" s="391" t="str">
        <f t="shared" si="125"/>
        <v/>
      </c>
      <c r="J1562" s="391" t="str">
        <f t="shared" si="126"/>
        <v/>
      </c>
      <c r="K1562" s="391" t="str">
        <f t="shared" si="127"/>
        <v/>
      </c>
    </row>
    <row r="1563" spans="8:11">
      <c r="H1563" s="391" t="str">
        <f t="shared" si="124"/>
        <v/>
      </c>
      <c r="I1563" s="391" t="str">
        <f t="shared" si="125"/>
        <v/>
      </c>
      <c r="J1563" s="391" t="str">
        <f t="shared" si="126"/>
        <v/>
      </c>
      <c r="K1563" s="391" t="str">
        <f t="shared" si="127"/>
        <v/>
      </c>
    </row>
    <row r="1564" spans="8:11">
      <c r="H1564" s="391" t="str">
        <f t="shared" si="124"/>
        <v/>
      </c>
      <c r="I1564" s="391" t="str">
        <f t="shared" si="125"/>
        <v/>
      </c>
      <c r="J1564" s="391" t="str">
        <f t="shared" si="126"/>
        <v/>
      </c>
      <c r="K1564" s="391" t="str">
        <f t="shared" si="127"/>
        <v/>
      </c>
    </row>
    <row r="1565" spans="8:11">
      <c r="H1565" s="391" t="str">
        <f t="shared" si="124"/>
        <v/>
      </c>
      <c r="I1565" s="391" t="str">
        <f t="shared" si="125"/>
        <v/>
      </c>
      <c r="J1565" s="391" t="str">
        <f t="shared" si="126"/>
        <v/>
      </c>
      <c r="K1565" s="391" t="str">
        <f t="shared" si="127"/>
        <v/>
      </c>
    </row>
    <row r="1566" spans="8:11">
      <c r="H1566" s="391" t="str">
        <f t="shared" si="124"/>
        <v/>
      </c>
      <c r="I1566" s="391" t="str">
        <f t="shared" si="125"/>
        <v/>
      </c>
      <c r="J1566" s="391" t="str">
        <f t="shared" si="126"/>
        <v/>
      </c>
      <c r="K1566" s="391" t="str">
        <f t="shared" si="127"/>
        <v/>
      </c>
    </row>
    <row r="1567" spans="8:11">
      <c r="H1567" s="391" t="str">
        <f t="shared" si="124"/>
        <v/>
      </c>
      <c r="I1567" s="391" t="str">
        <f t="shared" si="125"/>
        <v/>
      </c>
      <c r="J1567" s="391" t="str">
        <f t="shared" si="126"/>
        <v/>
      </c>
      <c r="K1567" s="391" t="str">
        <f t="shared" si="127"/>
        <v/>
      </c>
    </row>
    <row r="1568" spans="8:11">
      <c r="H1568" s="391" t="str">
        <f t="shared" si="124"/>
        <v/>
      </c>
      <c r="I1568" s="391" t="str">
        <f t="shared" si="125"/>
        <v/>
      </c>
      <c r="J1568" s="391" t="str">
        <f t="shared" si="126"/>
        <v/>
      </c>
      <c r="K1568" s="391" t="str">
        <f t="shared" si="127"/>
        <v/>
      </c>
    </row>
    <row r="1569" spans="8:11">
      <c r="H1569" s="391" t="str">
        <f t="shared" si="124"/>
        <v/>
      </c>
      <c r="I1569" s="391" t="str">
        <f t="shared" si="125"/>
        <v/>
      </c>
      <c r="J1569" s="391" t="str">
        <f t="shared" si="126"/>
        <v/>
      </c>
      <c r="K1569" s="391" t="str">
        <f t="shared" si="127"/>
        <v/>
      </c>
    </row>
    <row r="1570" spans="8:11">
      <c r="H1570" s="391" t="str">
        <f t="shared" si="124"/>
        <v/>
      </c>
      <c r="I1570" s="391" t="str">
        <f t="shared" si="125"/>
        <v/>
      </c>
      <c r="J1570" s="391" t="str">
        <f t="shared" si="126"/>
        <v/>
      </c>
      <c r="K1570" s="391" t="str">
        <f t="shared" si="127"/>
        <v/>
      </c>
    </row>
    <row r="1571" spans="8:11">
      <c r="H1571" s="391" t="str">
        <f t="shared" si="124"/>
        <v/>
      </c>
      <c r="I1571" s="391" t="str">
        <f t="shared" si="125"/>
        <v/>
      </c>
      <c r="J1571" s="391" t="str">
        <f t="shared" si="126"/>
        <v/>
      </c>
      <c r="K1571" s="391" t="str">
        <f t="shared" si="127"/>
        <v/>
      </c>
    </row>
    <row r="1572" spans="8:11">
      <c r="H1572" s="391" t="str">
        <f t="shared" si="124"/>
        <v/>
      </c>
      <c r="I1572" s="391" t="str">
        <f t="shared" si="125"/>
        <v/>
      </c>
      <c r="J1572" s="391" t="str">
        <f t="shared" si="126"/>
        <v/>
      </c>
      <c r="K1572" s="391" t="str">
        <f t="shared" si="127"/>
        <v/>
      </c>
    </row>
    <row r="1573" spans="8:11">
      <c r="H1573" s="391" t="str">
        <f t="shared" si="124"/>
        <v/>
      </c>
      <c r="I1573" s="391" t="str">
        <f t="shared" si="125"/>
        <v/>
      </c>
      <c r="J1573" s="391" t="str">
        <f t="shared" si="126"/>
        <v/>
      </c>
      <c r="K1573" s="391" t="str">
        <f t="shared" si="127"/>
        <v/>
      </c>
    </row>
    <row r="1574" spans="8:11">
      <c r="H1574" s="391" t="str">
        <f t="shared" si="124"/>
        <v/>
      </c>
      <c r="I1574" s="391" t="str">
        <f t="shared" si="125"/>
        <v/>
      </c>
      <c r="J1574" s="391" t="str">
        <f t="shared" si="126"/>
        <v/>
      </c>
      <c r="K1574" s="391" t="str">
        <f t="shared" si="127"/>
        <v/>
      </c>
    </row>
    <row r="1575" spans="8:11">
      <c r="H1575" s="391" t="str">
        <f t="shared" si="124"/>
        <v/>
      </c>
      <c r="I1575" s="391" t="str">
        <f t="shared" si="125"/>
        <v/>
      </c>
      <c r="J1575" s="391" t="str">
        <f t="shared" si="126"/>
        <v/>
      </c>
      <c r="K1575" s="391" t="str">
        <f t="shared" si="127"/>
        <v/>
      </c>
    </row>
    <row r="1576" spans="8:11">
      <c r="H1576" s="391" t="str">
        <f t="shared" si="124"/>
        <v/>
      </c>
      <c r="I1576" s="391" t="str">
        <f t="shared" si="125"/>
        <v/>
      </c>
      <c r="J1576" s="391" t="str">
        <f t="shared" si="126"/>
        <v/>
      </c>
      <c r="K1576" s="391" t="str">
        <f t="shared" si="127"/>
        <v/>
      </c>
    </row>
    <row r="1577" spans="8:11">
      <c r="H1577" s="391" t="str">
        <f t="shared" ref="H1577:H1640" si="128">IF($C599="","",ROUND(($B$2*$F599*($B$5/1000))/$B$6,2))</f>
        <v/>
      </c>
      <c r="I1577" s="391" t="str">
        <f t="shared" ref="I1577:I1640" si="129">IF($C599="","",ROUND(($B$3*$F599*($B$5/1000))/$B$6,2))</f>
        <v/>
      </c>
      <c r="J1577" s="391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1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>
      <c r="H1578" s="391" t="str">
        <f t="shared" si="128"/>
        <v/>
      </c>
      <c r="I1578" s="391" t="str">
        <f t="shared" si="129"/>
        <v/>
      </c>
      <c r="J1578" s="391" t="str">
        <f t="shared" si="130"/>
        <v/>
      </c>
      <c r="K1578" s="391" t="str">
        <f t="shared" si="131"/>
        <v/>
      </c>
    </row>
    <row r="1579" spans="8:11">
      <c r="H1579" s="391" t="str">
        <f t="shared" si="128"/>
        <v/>
      </c>
      <c r="I1579" s="391" t="str">
        <f t="shared" si="129"/>
        <v/>
      </c>
      <c r="J1579" s="391" t="str">
        <f t="shared" si="130"/>
        <v/>
      </c>
      <c r="K1579" s="391" t="str">
        <f t="shared" si="131"/>
        <v/>
      </c>
    </row>
    <row r="1580" spans="8:11">
      <c r="H1580" s="391" t="str">
        <f t="shared" si="128"/>
        <v/>
      </c>
      <c r="I1580" s="391" t="str">
        <f t="shared" si="129"/>
        <v/>
      </c>
      <c r="J1580" s="391" t="str">
        <f t="shared" si="130"/>
        <v/>
      </c>
      <c r="K1580" s="391" t="str">
        <f t="shared" si="131"/>
        <v/>
      </c>
    </row>
    <row r="1581" spans="8:11">
      <c r="H1581" s="391" t="str">
        <f t="shared" si="128"/>
        <v/>
      </c>
      <c r="I1581" s="391" t="str">
        <f t="shared" si="129"/>
        <v/>
      </c>
      <c r="J1581" s="391" t="str">
        <f t="shared" si="130"/>
        <v/>
      </c>
      <c r="K1581" s="391" t="str">
        <f t="shared" si="131"/>
        <v/>
      </c>
    </row>
    <row r="1582" spans="8:11">
      <c r="H1582" s="391" t="str">
        <f t="shared" si="128"/>
        <v/>
      </c>
      <c r="I1582" s="391" t="str">
        <f t="shared" si="129"/>
        <v/>
      </c>
      <c r="J1582" s="391" t="str">
        <f t="shared" si="130"/>
        <v/>
      </c>
      <c r="K1582" s="391" t="str">
        <f t="shared" si="131"/>
        <v/>
      </c>
    </row>
    <row r="1583" spans="8:11">
      <c r="H1583" s="391" t="str">
        <f t="shared" si="128"/>
        <v/>
      </c>
      <c r="I1583" s="391" t="str">
        <f t="shared" si="129"/>
        <v/>
      </c>
      <c r="J1583" s="391" t="str">
        <f t="shared" si="130"/>
        <v/>
      </c>
      <c r="K1583" s="391" t="str">
        <f t="shared" si="131"/>
        <v/>
      </c>
    </row>
    <row r="1584" spans="8:11">
      <c r="H1584" s="391" t="str">
        <f t="shared" si="128"/>
        <v/>
      </c>
      <c r="I1584" s="391" t="str">
        <f t="shared" si="129"/>
        <v/>
      </c>
      <c r="J1584" s="391" t="str">
        <f t="shared" si="130"/>
        <v/>
      </c>
      <c r="K1584" s="391" t="str">
        <f t="shared" si="131"/>
        <v/>
      </c>
    </row>
    <row r="1585" spans="8:11">
      <c r="H1585" s="391" t="str">
        <f t="shared" si="128"/>
        <v/>
      </c>
      <c r="I1585" s="391" t="str">
        <f t="shared" si="129"/>
        <v/>
      </c>
      <c r="J1585" s="391" t="str">
        <f t="shared" si="130"/>
        <v/>
      </c>
      <c r="K1585" s="391" t="str">
        <f t="shared" si="131"/>
        <v/>
      </c>
    </row>
    <row r="1586" spans="8:11">
      <c r="H1586" s="391" t="str">
        <f t="shared" si="128"/>
        <v/>
      </c>
      <c r="I1586" s="391" t="str">
        <f t="shared" si="129"/>
        <v/>
      </c>
      <c r="J1586" s="391" t="str">
        <f t="shared" si="130"/>
        <v/>
      </c>
      <c r="K1586" s="391" t="str">
        <f t="shared" si="131"/>
        <v/>
      </c>
    </row>
    <row r="1587" spans="8:11">
      <c r="H1587" s="391" t="str">
        <f t="shared" si="128"/>
        <v/>
      </c>
      <c r="I1587" s="391" t="str">
        <f t="shared" si="129"/>
        <v/>
      </c>
      <c r="J1587" s="391" t="str">
        <f t="shared" si="130"/>
        <v/>
      </c>
      <c r="K1587" s="391" t="str">
        <f t="shared" si="131"/>
        <v/>
      </c>
    </row>
    <row r="1588" spans="8:11">
      <c r="H1588" s="391" t="str">
        <f t="shared" si="128"/>
        <v/>
      </c>
      <c r="I1588" s="391" t="str">
        <f t="shared" si="129"/>
        <v/>
      </c>
      <c r="J1588" s="391" t="str">
        <f t="shared" si="130"/>
        <v/>
      </c>
      <c r="K1588" s="391" t="str">
        <f t="shared" si="131"/>
        <v/>
      </c>
    </row>
    <row r="1589" spans="8:11">
      <c r="H1589" s="391" t="str">
        <f t="shared" si="128"/>
        <v/>
      </c>
      <c r="I1589" s="391" t="str">
        <f t="shared" si="129"/>
        <v/>
      </c>
      <c r="J1589" s="391" t="str">
        <f t="shared" si="130"/>
        <v/>
      </c>
      <c r="K1589" s="391" t="str">
        <f t="shared" si="131"/>
        <v/>
      </c>
    </row>
    <row r="1590" spans="8:11">
      <c r="H1590" s="391" t="str">
        <f t="shared" si="128"/>
        <v/>
      </c>
      <c r="I1590" s="391" t="str">
        <f t="shared" si="129"/>
        <v/>
      </c>
      <c r="J1590" s="391" t="str">
        <f t="shared" si="130"/>
        <v/>
      </c>
      <c r="K1590" s="391" t="str">
        <f t="shared" si="131"/>
        <v/>
      </c>
    </row>
    <row r="1591" spans="8:11">
      <c r="H1591" s="391" t="str">
        <f t="shared" si="128"/>
        <v/>
      </c>
      <c r="I1591" s="391" t="str">
        <f t="shared" si="129"/>
        <v/>
      </c>
      <c r="J1591" s="391" t="str">
        <f t="shared" si="130"/>
        <v/>
      </c>
      <c r="K1591" s="391" t="str">
        <f t="shared" si="131"/>
        <v/>
      </c>
    </row>
    <row r="1592" spans="8:11">
      <c r="H1592" s="391" t="str">
        <f t="shared" si="128"/>
        <v/>
      </c>
      <c r="I1592" s="391" t="str">
        <f t="shared" si="129"/>
        <v/>
      </c>
      <c r="J1592" s="391" t="str">
        <f t="shared" si="130"/>
        <v/>
      </c>
      <c r="K1592" s="391" t="str">
        <f t="shared" si="131"/>
        <v/>
      </c>
    </row>
    <row r="1593" spans="8:11">
      <c r="H1593" s="391" t="str">
        <f t="shared" si="128"/>
        <v/>
      </c>
      <c r="I1593" s="391" t="str">
        <f t="shared" si="129"/>
        <v/>
      </c>
      <c r="J1593" s="391" t="str">
        <f t="shared" si="130"/>
        <v/>
      </c>
      <c r="K1593" s="391" t="str">
        <f t="shared" si="131"/>
        <v/>
      </c>
    </row>
    <row r="1594" spans="8:11">
      <c r="H1594" s="391" t="str">
        <f t="shared" si="128"/>
        <v/>
      </c>
      <c r="I1594" s="391" t="str">
        <f t="shared" si="129"/>
        <v/>
      </c>
      <c r="J1594" s="391" t="str">
        <f t="shared" si="130"/>
        <v/>
      </c>
      <c r="K1594" s="391" t="str">
        <f t="shared" si="131"/>
        <v/>
      </c>
    </row>
    <row r="1595" spans="8:11">
      <c r="H1595" s="391" t="str">
        <f t="shared" si="128"/>
        <v/>
      </c>
      <c r="I1595" s="391" t="str">
        <f t="shared" si="129"/>
        <v/>
      </c>
      <c r="J1595" s="391" t="str">
        <f t="shared" si="130"/>
        <v/>
      </c>
      <c r="K1595" s="391" t="str">
        <f t="shared" si="131"/>
        <v/>
      </c>
    </row>
    <row r="1596" spans="8:11">
      <c r="H1596" s="391" t="str">
        <f t="shared" si="128"/>
        <v/>
      </c>
      <c r="I1596" s="391" t="str">
        <f t="shared" si="129"/>
        <v/>
      </c>
      <c r="J1596" s="391" t="str">
        <f t="shared" si="130"/>
        <v/>
      </c>
      <c r="K1596" s="391" t="str">
        <f t="shared" si="131"/>
        <v/>
      </c>
    </row>
    <row r="1597" spans="8:11">
      <c r="H1597" s="391" t="str">
        <f t="shared" si="128"/>
        <v/>
      </c>
      <c r="I1597" s="391" t="str">
        <f t="shared" si="129"/>
        <v/>
      </c>
      <c r="J1597" s="391" t="str">
        <f t="shared" si="130"/>
        <v/>
      </c>
      <c r="K1597" s="391" t="str">
        <f t="shared" si="131"/>
        <v/>
      </c>
    </row>
    <row r="1598" spans="8:11">
      <c r="H1598" s="391" t="str">
        <f t="shared" si="128"/>
        <v/>
      </c>
      <c r="I1598" s="391" t="str">
        <f t="shared" si="129"/>
        <v/>
      </c>
      <c r="J1598" s="391" t="str">
        <f t="shared" si="130"/>
        <v/>
      </c>
      <c r="K1598" s="391" t="str">
        <f t="shared" si="131"/>
        <v/>
      </c>
    </row>
    <row r="1599" spans="8:11">
      <c r="H1599" s="391" t="str">
        <f t="shared" si="128"/>
        <v/>
      </c>
      <c r="I1599" s="391" t="str">
        <f t="shared" si="129"/>
        <v/>
      </c>
      <c r="J1599" s="391" t="str">
        <f t="shared" si="130"/>
        <v/>
      </c>
      <c r="K1599" s="391" t="str">
        <f t="shared" si="131"/>
        <v/>
      </c>
    </row>
    <row r="1600" spans="8:11">
      <c r="H1600" s="391" t="str">
        <f t="shared" si="128"/>
        <v/>
      </c>
      <c r="I1600" s="391" t="str">
        <f t="shared" si="129"/>
        <v/>
      </c>
      <c r="J1600" s="391" t="str">
        <f t="shared" si="130"/>
        <v/>
      </c>
      <c r="K1600" s="391" t="str">
        <f t="shared" si="131"/>
        <v/>
      </c>
    </row>
    <row r="1601" spans="8:11">
      <c r="H1601" s="391" t="str">
        <f t="shared" si="128"/>
        <v/>
      </c>
      <c r="I1601" s="391" t="str">
        <f t="shared" si="129"/>
        <v/>
      </c>
      <c r="J1601" s="391" t="str">
        <f t="shared" si="130"/>
        <v/>
      </c>
      <c r="K1601" s="391" t="str">
        <f t="shared" si="131"/>
        <v/>
      </c>
    </row>
    <row r="1602" spans="8:11">
      <c r="H1602" s="391" t="str">
        <f t="shared" si="128"/>
        <v/>
      </c>
      <c r="I1602" s="391" t="str">
        <f t="shared" si="129"/>
        <v/>
      </c>
      <c r="J1602" s="391" t="str">
        <f t="shared" si="130"/>
        <v/>
      </c>
      <c r="K1602" s="391" t="str">
        <f t="shared" si="131"/>
        <v/>
      </c>
    </row>
    <row r="1603" spans="8:11">
      <c r="H1603" s="391" t="str">
        <f t="shared" si="128"/>
        <v/>
      </c>
      <c r="I1603" s="391" t="str">
        <f t="shared" si="129"/>
        <v/>
      </c>
      <c r="J1603" s="391" t="str">
        <f t="shared" si="130"/>
        <v/>
      </c>
      <c r="K1603" s="391" t="str">
        <f t="shared" si="131"/>
        <v/>
      </c>
    </row>
    <row r="1604" spans="8:11">
      <c r="H1604" s="391" t="str">
        <f t="shared" si="128"/>
        <v/>
      </c>
      <c r="I1604" s="391" t="str">
        <f t="shared" si="129"/>
        <v/>
      </c>
      <c r="J1604" s="391" t="str">
        <f t="shared" si="130"/>
        <v/>
      </c>
      <c r="K1604" s="391" t="str">
        <f t="shared" si="131"/>
        <v/>
      </c>
    </row>
    <row r="1605" spans="8:11">
      <c r="H1605" s="391" t="str">
        <f t="shared" si="128"/>
        <v/>
      </c>
      <c r="I1605" s="391" t="str">
        <f t="shared" si="129"/>
        <v/>
      </c>
      <c r="J1605" s="391" t="str">
        <f t="shared" si="130"/>
        <v/>
      </c>
      <c r="K1605" s="391" t="str">
        <f t="shared" si="131"/>
        <v/>
      </c>
    </row>
    <row r="1606" spans="8:11">
      <c r="H1606" s="391" t="str">
        <f t="shared" si="128"/>
        <v/>
      </c>
      <c r="I1606" s="391" t="str">
        <f t="shared" si="129"/>
        <v/>
      </c>
      <c r="J1606" s="391" t="str">
        <f t="shared" si="130"/>
        <v/>
      </c>
      <c r="K1606" s="391" t="str">
        <f t="shared" si="131"/>
        <v/>
      </c>
    </row>
    <row r="1607" spans="8:11">
      <c r="H1607" s="391" t="str">
        <f t="shared" si="128"/>
        <v/>
      </c>
      <c r="I1607" s="391" t="str">
        <f t="shared" si="129"/>
        <v/>
      </c>
      <c r="J1607" s="391" t="str">
        <f t="shared" si="130"/>
        <v/>
      </c>
      <c r="K1607" s="391" t="str">
        <f t="shared" si="131"/>
        <v/>
      </c>
    </row>
    <row r="1608" spans="8:11">
      <c r="H1608" s="391" t="str">
        <f t="shared" si="128"/>
        <v/>
      </c>
      <c r="I1608" s="391" t="str">
        <f t="shared" si="129"/>
        <v/>
      </c>
      <c r="J1608" s="391" t="str">
        <f t="shared" si="130"/>
        <v/>
      </c>
      <c r="K1608" s="391" t="str">
        <f t="shared" si="131"/>
        <v/>
      </c>
    </row>
    <row r="1609" spans="8:11">
      <c r="H1609" s="391" t="str">
        <f t="shared" si="128"/>
        <v/>
      </c>
      <c r="I1609" s="391" t="str">
        <f t="shared" si="129"/>
        <v/>
      </c>
      <c r="J1609" s="391" t="str">
        <f t="shared" si="130"/>
        <v/>
      </c>
      <c r="K1609" s="391" t="str">
        <f t="shared" si="131"/>
        <v/>
      </c>
    </row>
    <row r="1610" spans="8:11">
      <c r="H1610" s="391" t="str">
        <f t="shared" si="128"/>
        <v/>
      </c>
      <c r="I1610" s="391" t="str">
        <f t="shared" si="129"/>
        <v/>
      </c>
      <c r="J1610" s="391" t="str">
        <f t="shared" si="130"/>
        <v/>
      </c>
      <c r="K1610" s="391" t="str">
        <f t="shared" si="131"/>
        <v/>
      </c>
    </row>
    <row r="1611" spans="8:11">
      <c r="H1611" s="391" t="str">
        <f t="shared" si="128"/>
        <v/>
      </c>
      <c r="I1611" s="391" t="str">
        <f t="shared" si="129"/>
        <v/>
      </c>
      <c r="J1611" s="391" t="str">
        <f t="shared" si="130"/>
        <v/>
      </c>
      <c r="K1611" s="391" t="str">
        <f t="shared" si="131"/>
        <v/>
      </c>
    </row>
    <row r="1612" spans="8:11">
      <c r="H1612" s="391" t="str">
        <f t="shared" si="128"/>
        <v/>
      </c>
      <c r="I1612" s="391" t="str">
        <f t="shared" si="129"/>
        <v/>
      </c>
      <c r="J1612" s="391" t="str">
        <f t="shared" si="130"/>
        <v/>
      </c>
      <c r="K1612" s="391" t="str">
        <f t="shared" si="131"/>
        <v/>
      </c>
    </row>
    <row r="1613" spans="8:11">
      <c r="H1613" s="391" t="str">
        <f t="shared" si="128"/>
        <v/>
      </c>
      <c r="I1613" s="391" t="str">
        <f t="shared" si="129"/>
        <v/>
      </c>
      <c r="J1613" s="391" t="str">
        <f t="shared" si="130"/>
        <v/>
      </c>
      <c r="K1613" s="391" t="str">
        <f t="shared" si="131"/>
        <v/>
      </c>
    </row>
    <row r="1614" spans="8:11">
      <c r="H1614" s="391" t="str">
        <f t="shared" si="128"/>
        <v/>
      </c>
      <c r="I1614" s="391" t="str">
        <f t="shared" si="129"/>
        <v/>
      </c>
      <c r="J1614" s="391" t="str">
        <f t="shared" si="130"/>
        <v/>
      </c>
      <c r="K1614" s="391" t="str">
        <f t="shared" si="131"/>
        <v/>
      </c>
    </row>
    <row r="1615" spans="8:11">
      <c r="H1615" s="391" t="str">
        <f t="shared" si="128"/>
        <v/>
      </c>
      <c r="I1615" s="391" t="str">
        <f t="shared" si="129"/>
        <v/>
      </c>
      <c r="J1615" s="391" t="str">
        <f t="shared" si="130"/>
        <v/>
      </c>
      <c r="K1615" s="391" t="str">
        <f t="shared" si="131"/>
        <v/>
      </c>
    </row>
    <row r="1616" spans="8:11">
      <c r="H1616" s="391" t="str">
        <f t="shared" si="128"/>
        <v/>
      </c>
      <c r="I1616" s="391" t="str">
        <f t="shared" si="129"/>
        <v/>
      </c>
      <c r="J1616" s="391" t="str">
        <f t="shared" si="130"/>
        <v/>
      </c>
      <c r="K1616" s="391" t="str">
        <f t="shared" si="131"/>
        <v/>
      </c>
    </row>
    <row r="1617" spans="8:11">
      <c r="H1617" s="391" t="str">
        <f t="shared" si="128"/>
        <v/>
      </c>
      <c r="I1617" s="391" t="str">
        <f t="shared" si="129"/>
        <v/>
      </c>
      <c r="J1617" s="391" t="str">
        <f t="shared" si="130"/>
        <v/>
      </c>
      <c r="K1617" s="391" t="str">
        <f t="shared" si="131"/>
        <v/>
      </c>
    </row>
    <row r="1618" spans="8:11">
      <c r="H1618" s="391" t="str">
        <f t="shared" si="128"/>
        <v/>
      </c>
      <c r="I1618" s="391" t="str">
        <f t="shared" si="129"/>
        <v/>
      </c>
      <c r="J1618" s="391" t="str">
        <f t="shared" si="130"/>
        <v/>
      </c>
      <c r="K1618" s="391" t="str">
        <f t="shared" si="131"/>
        <v/>
      </c>
    </row>
    <row r="1619" spans="8:11">
      <c r="H1619" s="391" t="str">
        <f t="shared" si="128"/>
        <v/>
      </c>
      <c r="I1619" s="391" t="str">
        <f t="shared" si="129"/>
        <v/>
      </c>
      <c r="J1619" s="391" t="str">
        <f t="shared" si="130"/>
        <v/>
      </c>
      <c r="K1619" s="391" t="str">
        <f t="shared" si="131"/>
        <v/>
      </c>
    </row>
    <row r="1620" spans="8:11">
      <c r="H1620" s="391" t="str">
        <f t="shared" si="128"/>
        <v/>
      </c>
      <c r="I1620" s="391" t="str">
        <f t="shared" si="129"/>
        <v/>
      </c>
      <c r="J1620" s="391" t="str">
        <f t="shared" si="130"/>
        <v/>
      </c>
      <c r="K1620" s="391" t="str">
        <f t="shared" si="131"/>
        <v/>
      </c>
    </row>
    <row r="1621" spans="8:11">
      <c r="H1621" s="391" t="str">
        <f t="shared" si="128"/>
        <v/>
      </c>
      <c r="I1621" s="391" t="str">
        <f t="shared" si="129"/>
        <v/>
      </c>
      <c r="J1621" s="391" t="str">
        <f t="shared" si="130"/>
        <v/>
      </c>
      <c r="K1621" s="391" t="str">
        <f t="shared" si="131"/>
        <v/>
      </c>
    </row>
    <row r="1622" spans="8:11">
      <c r="H1622" s="391" t="str">
        <f t="shared" si="128"/>
        <v/>
      </c>
      <c r="I1622" s="391" t="str">
        <f t="shared" si="129"/>
        <v/>
      </c>
      <c r="J1622" s="391" t="str">
        <f t="shared" si="130"/>
        <v/>
      </c>
      <c r="K1622" s="391" t="str">
        <f t="shared" si="131"/>
        <v/>
      </c>
    </row>
    <row r="1623" spans="8:11">
      <c r="H1623" s="391" t="str">
        <f t="shared" si="128"/>
        <v/>
      </c>
      <c r="I1623" s="391" t="str">
        <f t="shared" si="129"/>
        <v/>
      </c>
      <c r="J1623" s="391" t="str">
        <f t="shared" si="130"/>
        <v/>
      </c>
      <c r="K1623" s="391" t="str">
        <f t="shared" si="131"/>
        <v/>
      </c>
    </row>
    <row r="1624" spans="8:11">
      <c r="H1624" s="391" t="str">
        <f t="shared" si="128"/>
        <v/>
      </c>
      <c r="I1624" s="391" t="str">
        <f t="shared" si="129"/>
        <v/>
      </c>
      <c r="J1624" s="391" t="str">
        <f t="shared" si="130"/>
        <v/>
      </c>
      <c r="K1624" s="391" t="str">
        <f t="shared" si="131"/>
        <v/>
      </c>
    </row>
    <row r="1625" spans="8:11">
      <c r="H1625" s="391" t="str">
        <f t="shared" si="128"/>
        <v/>
      </c>
      <c r="I1625" s="391" t="str">
        <f t="shared" si="129"/>
        <v/>
      </c>
      <c r="J1625" s="391" t="str">
        <f t="shared" si="130"/>
        <v/>
      </c>
      <c r="K1625" s="391" t="str">
        <f t="shared" si="131"/>
        <v/>
      </c>
    </row>
    <row r="1626" spans="8:11">
      <c r="H1626" s="391" t="str">
        <f t="shared" si="128"/>
        <v/>
      </c>
      <c r="I1626" s="391" t="str">
        <f t="shared" si="129"/>
        <v/>
      </c>
      <c r="J1626" s="391" t="str">
        <f t="shared" si="130"/>
        <v/>
      </c>
      <c r="K1626" s="391" t="str">
        <f t="shared" si="131"/>
        <v/>
      </c>
    </row>
    <row r="1627" spans="8:11">
      <c r="H1627" s="391" t="str">
        <f t="shared" si="128"/>
        <v/>
      </c>
      <c r="I1627" s="391" t="str">
        <f t="shared" si="129"/>
        <v/>
      </c>
      <c r="J1627" s="391" t="str">
        <f t="shared" si="130"/>
        <v/>
      </c>
      <c r="K1627" s="391" t="str">
        <f t="shared" si="131"/>
        <v/>
      </c>
    </row>
    <row r="1628" spans="8:11">
      <c r="H1628" s="391" t="str">
        <f t="shared" si="128"/>
        <v/>
      </c>
      <c r="I1628" s="391" t="str">
        <f t="shared" si="129"/>
        <v/>
      </c>
      <c r="J1628" s="391" t="str">
        <f t="shared" si="130"/>
        <v/>
      </c>
      <c r="K1628" s="391" t="str">
        <f t="shared" si="131"/>
        <v/>
      </c>
    </row>
    <row r="1629" spans="8:11">
      <c r="H1629" s="391" t="str">
        <f t="shared" si="128"/>
        <v/>
      </c>
      <c r="I1629" s="391" t="str">
        <f t="shared" si="129"/>
        <v/>
      </c>
      <c r="J1629" s="391" t="str">
        <f t="shared" si="130"/>
        <v/>
      </c>
      <c r="K1629" s="391" t="str">
        <f t="shared" si="131"/>
        <v/>
      </c>
    </row>
    <row r="1630" spans="8:11">
      <c r="H1630" s="391" t="str">
        <f t="shared" si="128"/>
        <v/>
      </c>
      <c r="I1630" s="391" t="str">
        <f t="shared" si="129"/>
        <v/>
      </c>
      <c r="J1630" s="391" t="str">
        <f t="shared" si="130"/>
        <v/>
      </c>
      <c r="K1630" s="391" t="str">
        <f t="shared" si="131"/>
        <v/>
      </c>
    </row>
    <row r="1631" spans="8:11">
      <c r="H1631" s="391" t="str">
        <f t="shared" si="128"/>
        <v/>
      </c>
      <c r="I1631" s="391" t="str">
        <f t="shared" si="129"/>
        <v/>
      </c>
      <c r="J1631" s="391" t="str">
        <f t="shared" si="130"/>
        <v/>
      </c>
      <c r="K1631" s="391" t="str">
        <f t="shared" si="131"/>
        <v/>
      </c>
    </row>
    <row r="1632" spans="8:11">
      <c r="H1632" s="391" t="str">
        <f t="shared" si="128"/>
        <v/>
      </c>
      <c r="I1632" s="391" t="str">
        <f t="shared" si="129"/>
        <v/>
      </c>
      <c r="J1632" s="391" t="str">
        <f t="shared" si="130"/>
        <v/>
      </c>
      <c r="K1632" s="391" t="str">
        <f t="shared" si="131"/>
        <v/>
      </c>
    </row>
    <row r="1633" spans="8:11">
      <c r="H1633" s="391" t="str">
        <f t="shared" si="128"/>
        <v/>
      </c>
      <c r="I1633" s="391" t="str">
        <f t="shared" si="129"/>
        <v/>
      </c>
      <c r="J1633" s="391" t="str">
        <f t="shared" si="130"/>
        <v/>
      </c>
      <c r="K1633" s="391" t="str">
        <f t="shared" si="131"/>
        <v/>
      </c>
    </row>
    <row r="1634" spans="8:11">
      <c r="H1634" s="391" t="str">
        <f t="shared" si="128"/>
        <v/>
      </c>
      <c r="I1634" s="391" t="str">
        <f t="shared" si="129"/>
        <v/>
      </c>
      <c r="J1634" s="391" t="str">
        <f t="shared" si="130"/>
        <v/>
      </c>
      <c r="K1634" s="391" t="str">
        <f t="shared" si="131"/>
        <v/>
      </c>
    </row>
    <row r="1635" spans="8:11">
      <c r="H1635" s="391" t="str">
        <f t="shared" si="128"/>
        <v/>
      </c>
      <c r="I1635" s="391" t="str">
        <f t="shared" si="129"/>
        <v/>
      </c>
      <c r="J1635" s="391" t="str">
        <f t="shared" si="130"/>
        <v/>
      </c>
      <c r="K1635" s="391" t="str">
        <f t="shared" si="131"/>
        <v/>
      </c>
    </row>
    <row r="1636" spans="8:11">
      <c r="H1636" s="391" t="str">
        <f t="shared" si="128"/>
        <v/>
      </c>
      <c r="I1636" s="391" t="str">
        <f t="shared" si="129"/>
        <v/>
      </c>
      <c r="J1636" s="391" t="str">
        <f t="shared" si="130"/>
        <v/>
      </c>
      <c r="K1636" s="391" t="str">
        <f t="shared" si="131"/>
        <v/>
      </c>
    </row>
    <row r="1637" spans="8:11">
      <c r="H1637" s="391" t="str">
        <f t="shared" si="128"/>
        <v/>
      </c>
      <c r="I1637" s="391" t="str">
        <f t="shared" si="129"/>
        <v/>
      </c>
      <c r="J1637" s="391" t="str">
        <f t="shared" si="130"/>
        <v/>
      </c>
      <c r="K1637" s="391" t="str">
        <f t="shared" si="131"/>
        <v/>
      </c>
    </row>
    <row r="1638" spans="8:11">
      <c r="H1638" s="391" t="str">
        <f t="shared" si="128"/>
        <v/>
      </c>
      <c r="I1638" s="391" t="str">
        <f t="shared" si="129"/>
        <v/>
      </c>
      <c r="J1638" s="391" t="str">
        <f t="shared" si="130"/>
        <v/>
      </c>
      <c r="K1638" s="391" t="str">
        <f t="shared" si="131"/>
        <v/>
      </c>
    </row>
    <row r="1639" spans="8:11">
      <c r="H1639" s="391" t="str">
        <f t="shared" si="128"/>
        <v/>
      </c>
      <c r="I1639" s="391" t="str">
        <f t="shared" si="129"/>
        <v/>
      </c>
      <c r="J1639" s="391" t="str">
        <f t="shared" si="130"/>
        <v/>
      </c>
      <c r="K1639" s="391" t="str">
        <f t="shared" si="131"/>
        <v/>
      </c>
    </row>
    <row r="1640" spans="8:11">
      <c r="H1640" s="391" t="str">
        <f t="shared" si="128"/>
        <v/>
      </c>
      <c r="I1640" s="391" t="str">
        <f t="shared" si="129"/>
        <v/>
      </c>
      <c r="J1640" s="391" t="str">
        <f t="shared" si="130"/>
        <v/>
      </c>
      <c r="K1640" s="391" t="str">
        <f t="shared" si="131"/>
        <v/>
      </c>
    </row>
    <row r="1641" spans="8:11">
      <c r="H1641" s="391" t="str">
        <f t="shared" ref="H1641:H1704" si="132">IF($C663="","",ROUND(($B$2*$F663*($B$5/1000))/$B$6,2))</f>
        <v/>
      </c>
      <c r="I1641" s="391" t="str">
        <f t="shared" ref="I1641:I1704" si="133">IF($C663="","",ROUND(($B$3*$F663*($B$5/1000))/$B$6,2))</f>
        <v/>
      </c>
      <c r="J1641" s="391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1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>
      <c r="H1642" s="391" t="str">
        <f t="shared" si="132"/>
        <v/>
      </c>
      <c r="I1642" s="391" t="str">
        <f t="shared" si="133"/>
        <v/>
      </c>
      <c r="J1642" s="391" t="str">
        <f t="shared" si="134"/>
        <v/>
      </c>
      <c r="K1642" s="391" t="str">
        <f t="shared" si="135"/>
        <v/>
      </c>
    </row>
    <row r="1643" spans="8:11">
      <c r="H1643" s="391" t="str">
        <f t="shared" si="132"/>
        <v/>
      </c>
      <c r="I1643" s="391" t="str">
        <f t="shared" si="133"/>
        <v/>
      </c>
      <c r="J1643" s="391" t="str">
        <f t="shared" si="134"/>
        <v/>
      </c>
      <c r="K1643" s="391" t="str">
        <f t="shared" si="135"/>
        <v/>
      </c>
    </row>
    <row r="1644" spans="8:11">
      <c r="H1644" s="391" t="str">
        <f t="shared" si="132"/>
        <v/>
      </c>
      <c r="I1644" s="391" t="str">
        <f t="shared" si="133"/>
        <v/>
      </c>
      <c r="J1644" s="391" t="str">
        <f t="shared" si="134"/>
        <v/>
      </c>
      <c r="K1644" s="391" t="str">
        <f t="shared" si="135"/>
        <v/>
      </c>
    </row>
    <row r="1645" spans="8:11">
      <c r="H1645" s="391" t="str">
        <f t="shared" si="132"/>
        <v/>
      </c>
      <c r="I1645" s="391" t="str">
        <f t="shared" si="133"/>
        <v/>
      </c>
      <c r="J1645" s="391" t="str">
        <f t="shared" si="134"/>
        <v/>
      </c>
      <c r="K1645" s="391" t="str">
        <f t="shared" si="135"/>
        <v/>
      </c>
    </row>
    <row r="1646" spans="8:11">
      <c r="H1646" s="391" t="str">
        <f t="shared" si="132"/>
        <v/>
      </c>
      <c r="I1646" s="391" t="str">
        <f t="shared" si="133"/>
        <v/>
      </c>
      <c r="J1646" s="391" t="str">
        <f t="shared" si="134"/>
        <v/>
      </c>
      <c r="K1646" s="391" t="str">
        <f t="shared" si="135"/>
        <v/>
      </c>
    </row>
    <row r="1647" spans="8:11">
      <c r="H1647" s="391" t="str">
        <f t="shared" si="132"/>
        <v/>
      </c>
      <c r="I1647" s="391" t="str">
        <f t="shared" si="133"/>
        <v/>
      </c>
      <c r="J1647" s="391" t="str">
        <f t="shared" si="134"/>
        <v/>
      </c>
      <c r="K1647" s="391" t="str">
        <f t="shared" si="135"/>
        <v/>
      </c>
    </row>
    <row r="1648" spans="8:11">
      <c r="H1648" s="391" t="str">
        <f t="shared" si="132"/>
        <v/>
      </c>
      <c r="I1648" s="391" t="str">
        <f t="shared" si="133"/>
        <v/>
      </c>
      <c r="J1648" s="391" t="str">
        <f t="shared" si="134"/>
        <v/>
      </c>
      <c r="K1648" s="391" t="str">
        <f t="shared" si="135"/>
        <v/>
      </c>
    </row>
    <row r="1649" spans="8:11">
      <c r="H1649" s="391" t="str">
        <f t="shared" si="132"/>
        <v/>
      </c>
      <c r="I1649" s="391" t="str">
        <f t="shared" si="133"/>
        <v/>
      </c>
      <c r="J1649" s="391" t="str">
        <f t="shared" si="134"/>
        <v/>
      </c>
      <c r="K1649" s="391" t="str">
        <f t="shared" si="135"/>
        <v/>
      </c>
    </row>
    <row r="1650" spans="8:11">
      <c r="H1650" s="391" t="str">
        <f t="shared" si="132"/>
        <v/>
      </c>
      <c r="I1650" s="391" t="str">
        <f t="shared" si="133"/>
        <v/>
      </c>
      <c r="J1650" s="391" t="str">
        <f t="shared" si="134"/>
        <v/>
      </c>
      <c r="K1650" s="391" t="str">
        <f t="shared" si="135"/>
        <v/>
      </c>
    </row>
    <row r="1651" spans="8:11">
      <c r="H1651" s="391" t="str">
        <f t="shared" si="132"/>
        <v/>
      </c>
      <c r="I1651" s="391" t="str">
        <f t="shared" si="133"/>
        <v/>
      </c>
      <c r="J1651" s="391" t="str">
        <f t="shared" si="134"/>
        <v/>
      </c>
      <c r="K1651" s="391" t="str">
        <f t="shared" si="135"/>
        <v/>
      </c>
    </row>
    <row r="1652" spans="8:11">
      <c r="H1652" s="391" t="str">
        <f t="shared" si="132"/>
        <v/>
      </c>
      <c r="I1652" s="391" t="str">
        <f t="shared" si="133"/>
        <v/>
      </c>
      <c r="J1652" s="391" t="str">
        <f t="shared" si="134"/>
        <v/>
      </c>
      <c r="K1652" s="391" t="str">
        <f t="shared" si="135"/>
        <v/>
      </c>
    </row>
    <row r="1653" spans="8:11">
      <c r="H1653" s="391" t="str">
        <f t="shared" si="132"/>
        <v/>
      </c>
      <c r="I1653" s="391" t="str">
        <f t="shared" si="133"/>
        <v/>
      </c>
      <c r="J1653" s="391" t="str">
        <f t="shared" si="134"/>
        <v/>
      </c>
      <c r="K1653" s="391" t="str">
        <f t="shared" si="135"/>
        <v/>
      </c>
    </row>
    <row r="1654" spans="8:11">
      <c r="H1654" s="391" t="str">
        <f t="shared" si="132"/>
        <v/>
      </c>
      <c r="I1654" s="391" t="str">
        <f t="shared" si="133"/>
        <v/>
      </c>
      <c r="J1654" s="391" t="str">
        <f t="shared" si="134"/>
        <v/>
      </c>
      <c r="K1654" s="391" t="str">
        <f t="shared" si="135"/>
        <v/>
      </c>
    </row>
    <row r="1655" spans="8:11">
      <c r="H1655" s="391" t="str">
        <f t="shared" si="132"/>
        <v/>
      </c>
      <c r="I1655" s="391" t="str">
        <f t="shared" si="133"/>
        <v/>
      </c>
      <c r="J1655" s="391" t="str">
        <f t="shared" si="134"/>
        <v/>
      </c>
      <c r="K1655" s="391" t="str">
        <f t="shared" si="135"/>
        <v/>
      </c>
    </row>
    <row r="1656" spans="8:11">
      <c r="H1656" s="391" t="str">
        <f t="shared" si="132"/>
        <v/>
      </c>
      <c r="I1656" s="391" t="str">
        <f t="shared" si="133"/>
        <v/>
      </c>
      <c r="J1656" s="391" t="str">
        <f t="shared" si="134"/>
        <v/>
      </c>
      <c r="K1656" s="391" t="str">
        <f t="shared" si="135"/>
        <v/>
      </c>
    </row>
    <row r="1657" spans="8:11">
      <c r="H1657" s="391" t="str">
        <f t="shared" si="132"/>
        <v/>
      </c>
      <c r="I1657" s="391" t="str">
        <f t="shared" si="133"/>
        <v/>
      </c>
      <c r="J1657" s="391" t="str">
        <f t="shared" si="134"/>
        <v/>
      </c>
      <c r="K1657" s="391" t="str">
        <f t="shared" si="135"/>
        <v/>
      </c>
    </row>
    <row r="1658" spans="8:11">
      <c r="H1658" s="391" t="str">
        <f t="shared" si="132"/>
        <v/>
      </c>
      <c r="I1658" s="391" t="str">
        <f t="shared" si="133"/>
        <v/>
      </c>
      <c r="J1658" s="391" t="str">
        <f t="shared" si="134"/>
        <v/>
      </c>
      <c r="K1658" s="391" t="str">
        <f t="shared" si="135"/>
        <v/>
      </c>
    </row>
    <row r="1659" spans="8:11">
      <c r="H1659" s="391" t="str">
        <f t="shared" si="132"/>
        <v/>
      </c>
      <c r="I1659" s="391" t="str">
        <f t="shared" si="133"/>
        <v/>
      </c>
      <c r="J1659" s="391" t="str">
        <f t="shared" si="134"/>
        <v/>
      </c>
      <c r="K1659" s="391" t="str">
        <f t="shared" si="135"/>
        <v/>
      </c>
    </row>
    <row r="1660" spans="8:11">
      <c r="H1660" s="391" t="str">
        <f t="shared" si="132"/>
        <v/>
      </c>
      <c r="I1660" s="391" t="str">
        <f t="shared" si="133"/>
        <v/>
      </c>
      <c r="J1660" s="391" t="str">
        <f t="shared" si="134"/>
        <v/>
      </c>
      <c r="K1660" s="391" t="str">
        <f t="shared" si="135"/>
        <v/>
      </c>
    </row>
    <row r="1661" spans="8:11">
      <c r="H1661" s="391" t="str">
        <f t="shared" si="132"/>
        <v/>
      </c>
      <c r="I1661" s="391" t="str">
        <f t="shared" si="133"/>
        <v/>
      </c>
      <c r="J1661" s="391" t="str">
        <f t="shared" si="134"/>
        <v/>
      </c>
      <c r="K1661" s="391" t="str">
        <f t="shared" si="135"/>
        <v/>
      </c>
    </row>
    <row r="1662" spans="8:11">
      <c r="H1662" s="391" t="str">
        <f t="shared" si="132"/>
        <v/>
      </c>
      <c r="I1662" s="391" t="str">
        <f t="shared" si="133"/>
        <v/>
      </c>
      <c r="J1662" s="391" t="str">
        <f t="shared" si="134"/>
        <v/>
      </c>
      <c r="K1662" s="391" t="str">
        <f t="shared" si="135"/>
        <v/>
      </c>
    </row>
    <row r="1663" spans="8:11">
      <c r="H1663" s="391" t="str">
        <f t="shared" si="132"/>
        <v/>
      </c>
      <c r="I1663" s="391" t="str">
        <f t="shared" si="133"/>
        <v/>
      </c>
      <c r="J1663" s="391" t="str">
        <f t="shared" si="134"/>
        <v/>
      </c>
      <c r="K1663" s="391" t="str">
        <f t="shared" si="135"/>
        <v/>
      </c>
    </row>
    <row r="1664" spans="8:11">
      <c r="H1664" s="391" t="str">
        <f t="shared" si="132"/>
        <v/>
      </c>
      <c r="I1664" s="391" t="str">
        <f t="shared" si="133"/>
        <v/>
      </c>
      <c r="J1664" s="391" t="str">
        <f t="shared" si="134"/>
        <v/>
      </c>
      <c r="K1664" s="391" t="str">
        <f t="shared" si="135"/>
        <v/>
      </c>
    </row>
    <row r="1665" spans="8:11">
      <c r="H1665" s="391" t="str">
        <f t="shared" si="132"/>
        <v/>
      </c>
      <c r="I1665" s="391" t="str">
        <f t="shared" si="133"/>
        <v/>
      </c>
      <c r="J1665" s="391" t="str">
        <f t="shared" si="134"/>
        <v/>
      </c>
      <c r="K1665" s="391" t="str">
        <f t="shared" si="135"/>
        <v/>
      </c>
    </row>
    <row r="1666" spans="8:11">
      <c r="H1666" s="391" t="str">
        <f t="shared" si="132"/>
        <v/>
      </c>
      <c r="I1666" s="391" t="str">
        <f t="shared" si="133"/>
        <v/>
      </c>
      <c r="J1666" s="391" t="str">
        <f t="shared" si="134"/>
        <v/>
      </c>
      <c r="K1666" s="391" t="str">
        <f t="shared" si="135"/>
        <v/>
      </c>
    </row>
    <row r="1667" spans="8:11">
      <c r="H1667" s="391" t="str">
        <f t="shared" si="132"/>
        <v/>
      </c>
      <c r="I1667" s="391" t="str">
        <f t="shared" si="133"/>
        <v/>
      </c>
      <c r="J1667" s="391" t="str">
        <f t="shared" si="134"/>
        <v/>
      </c>
      <c r="K1667" s="391" t="str">
        <f t="shared" si="135"/>
        <v/>
      </c>
    </row>
    <row r="1668" spans="8:11">
      <c r="H1668" s="391" t="str">
        <f t="shared" si="132"/>
        <v/>
      </c>
      <c r="I1668" s="391" t="str">
        <f t="shared" si="133"/>
        <v/>
      </c>
      <c r="J1668" s="391" t="str">
        <f t="shared" si="134"/>
        <v/>
      </c>
      <c r="K1668" s="391" t="str">
        <f t="shared" si="135"/>
        <v/>
      </c>
    </row>
    <row r="1669" spans="8:11">
      <c r="H1669" s="391" t="str">
        <f t="shared" si="132"/>
        <v/>
      </c>
      <c r="I1669" s="391" t="str">
        <f t="shared" si="133"/>
        <v/>
      </c>
      <c r="J1669" s="391" t="str">
        <f t="shared" si="134"/>
        <v/>
      </c>
      <c r="K1669" s="391" t="str">
        <f t="shared" si="135"/>
        <v/>
      </c>
    </row>
    <row r="1670" spans="8:11">
      <c r="H1670" s="391" t="str">
        <f t="shared" si="132"/>
        <v/>
      </c>
      <c r="I1670" s="391" t="str">
        <f t="shared" si="133"/>
        <v/>
      </c>
      <c r="J1670" s="391" t="str">
        <f t="shared" si="134"/>
        <v/>
      </c>
      <c r="K1670" s="391" t="str">
        <f t="shared" si="135"/>
        <v/>
      </c>
    </row>
    <row r="1671" spans="8:11">
      <c r="H1671" s="391" t="str">
        <f t="shared" si="132"/>
        <v/>
      </c>
      <c r="I1671" s="391" t="str">
        <f t="shared" si="133"/>
        <v/>
      </c>
      <c r="J1671" s="391" t="str">
        <f t="shared" si="134"/>
        <v/>
      </c>
      <c r="K1671" s="391" t="str">
        <f t="shared" si="135"/>
        <v/>
      </c>
    </row>
    <row r="1672" spans="8:11">
      <c r="H1672" s="391" t="str">
        <f t="shared" si="132"/>
        <v/>
      </c>
      <c r="I1672" s="391" t="str">
        <f t="shared" si="133"/>
        <v/>
      </c>
      <c r="J1672" s="391" t="str">
        <f t="shared" si="134"/>
        <v/>
      </c>
      <c r="K1672" s="391" t="str">
        <f t="shared" si="135"/>
        <v/>
      </c>
    </row>
    <row r="1673" spans="8:11">
      <c r="H1673" s="391" t="str">
        <f t="shared" si="132"/>
        <v/>
      </c>
      <c r="I1673" s="391" t="str">
        <f t="shared" si="133"/>
        <v/>
      </c>
      <c r="J1673" s="391" t="str">
        <f t="shared" si="134"/>
        <v/>
      </c>
      <c r="K1673" s="391" t="str">
        <f t="shared" si="135"/>
        <v/>
      </c>
    </row>
    <row r="1674" spans="8:11">
      <c r="H1674" s="391" t="str">
        <f t="shared" si="132"/>
        <v/>
      </c>
      <c r="I1674" s="391" t="str">
        <f t="shared" si="133"/>
        <v/>
      </c>
      <c r="J1674" s="391" t="str">
        <f t="shared" si="134"/>
        <v/>
      </c>
      <c r="K1674" s="391" t="str">
        <f t="shared" si="135"/>
        <v/>
      </c>
    </row>
    <row r="1675" spans="8:11">
      <c r="H1675" s="391" t="str">
        <f t="shared" si="132"/>
        <v/>
      </c>
      <c r="I1675" s="391" t="str">
        <f t="shared" si="133"/>
        <v/>
      </c>
      <c r="J1675" s="391" t="str">
        <f t="shared" si="134"/>
        <v/>
      </c>
      <c r="K1675" s="391" t="str">
        <f t="shared" si="135"/>
        <v/>
      </c>
    </row>
    <row r="1676" spans="8:11">
      <c r="H1676" s="391" t="str">
        <f t="shared" si="132"/>
        <v/>
      </c>
      <c r="I1676" s="391" t="str">
        <f t="shared" si="133"/>
        <v/>
      </c>
      <c r="J1676" s="391" t="str">
        <f t="shared" si="134"/>
        <v/>
      </c>
      <c r="K1676" s="391" t="str">
        <f t="shared" si="135"/>
        <v/>
      </c>
    </row>
    <row r="1677" spans="8:11">
      <c r="H1677" s="391" t="str">
        <f t="shared" si="132"/>
        <v/>
      </c>
      <c r="I1677" s="391" t="str">
        <f t="shared" si="133"/>
        <v/>
      </c>
      <c r="J1677" s="391" t="str">
        <f t="shared" si="134"/>
        <v/>
      </c>
      <c r="K1677" s="391" t="str">
        <f t="shared" si="135"/>
        <v/>
      </c>
    </row>
    <row r="1678" spans="8:11">
      <c r="H1678" s="391" t="str">
        <f t="shared" si="132"/>
        <v/>
      </c>
      <c r="I1678" s="391" t="str">
        <f t="shared" si="133"/>
        <v/>
      </c>
      <c r="J1678" s="391" t="str">
        <f t="shared" si="134"/>
        <v/>
      </c>
      <c r="K1678" s="391" t="str">
        <f t="shared" si="135"/>
        <v/>
      </c>
    </row>
    <row r="1679" spans="8:11">
      <c r="H1679" s="391" t="str">
        <f t="shared" si="132"/>
        <v/>
      </c>
      <c r="I1679" s="391" t="str">
        <f t="shared" si="133"/>
        <v/>
      </c>
      <c r="J1679" s="391" t="str">
        <f t="shared" si="134"/>
        <v/>
      </c>
      <c r="K1679" s="391" t="str">
        <f t="shared" si="135"/>
        <v/>
      </c>
    </row>
    <row r="1680" spans="8:11">
      <c r="H1680" s="391" t="str">
        <f t="shared" si="132"/>
        <v/>
      </c>
      <c r="I1680" s="391" t="str">
        <f t="shared" si="133"/>
        <v/>
      </c>
      <c r="J1680" s="391" t="str">
        <f t="shared" si="134"/>
        <v/>
      </c>
      <c r="K1680" s="391" t="str">
        <f t="shared" si="135"/>
        <v/>
      </c>
    </row>
    <row r="1681" spans="8:11">
      <c r="H1681" s="391" t="str">
        <f t="shared" si="132"/>
        <v/>
      </c>
      <c r="I1681" s="391" t="str">
        <f t="shared" si="133"/>
        <v/>
      </c>
      <c r="J1681" s="391" t="str">
        <f t="shared" si="134"/>
        <v/>
      </c>
      <c r="K1681" s="391" t="str">
        <f t="shared" si="135"/>
        <v/>
      </c>
    </row>
    <row r="1682" spans="8:11">
      <c r="H1682" s="391" t="str">
        <f t="shared" si="132"/>
        <v/>
      </c>
      <c r="I1682" s="391" t="str">
        <f t="shared" si="133"/>
        <v/>
      </c>
      <c r="J1682" s="391" t="str">
        <f t="shared" si="134"/>
        <v/>
      </c>
      <c r="K1682" s="391" t="str">
        <f t="shared" si="135"/>
        <v/>
      </c>
    </row>
    <row r="1683" spans="8:11">
      <c r="H1683" s="391" t="str">
        <f t="shared" si="132"/>
        <v/>
      </c>
      <c r="I1683" s="391" t="str">
        <f t="shared" si="133"/>
        <v/>
      </c>
      <c r="J1683" s="391" t="str">
        <f t="shared" si="134"/>
        <v/>
      </c>
      <c r="K1683" s="391" t="str">
        <f t="shared" si="135"/>
        <v/>
      </c>
    </row>
    <row r="1684" spans="8:11">
      <c r="H1684" s="391" t="str">
        <f t="shared" si="132"/>
        <v/>
      </c>
      <c r="I1684" s="391" t="str">
        <f t="shared" si="133"/>
        <v/>
      </c>
      <c r="J1684" s="391" t="str">
        <f t="shared" si="134"/>
        <v/>
      </c>
      <c r="K1684" s="391" t="str">
        <f t="shared" si="135"/>
        <v/>
      </c>
    </row>
    <row r="1685" spans="8:11">
      <c r="H1685" s="391" t="str">
        <f t="shared" si="132"/>
        <v/>
      </c>
      <c r="I1685" s="391" t="str">
        <f t="shared" si="133"/>
        <v/>
      </c>
      <c r="J1685" s="391" t="str">
        <f t="shared" si="134"/>
        <v/>
      </c>
      <c r="K1685" s="391" t="str">
        <f t="shared" si="135"/>
        <v/>
      </c>
    </row>
    <row r="1686" spans="8:11">
      <c r="H1686" s="391" t="str">
        <f t="shared" si="132"/>
        <v/>
      </c>
      <c r="I1686" s="391" t="str">
        <f t="shared" si="133"/>
        <v/>
      </c>
      <c r="J1686" s="391" t="str">
        <f t="shared" si="134"/>
        <v/>
      </c>
      <c r="K1686" s="391" t="str">
        <f t="shared" si="135"/>
        <v/>
      </c>
    </row>
    <row r="1687" spans="8:11">
      <c r="H1687" s="391" t="str">
        <f t="shared" si="132"/>
        <v/>
      </c>
      <c r="I1687" s="391" t="str">
        <f t="shared" si="133"/>
        <v/>
      </c>
      <c r="J1687" s="391" t="str">
        <f t="shared" si="134"/>
        <v/>
      </c>
      <c r="K1687" s="391" t="str">
        <f t="shared" si="135"/>
        <v/>
      </c>
    </row>
    <row r="1688" spans="8:11">
      <c r="H1688" s="391" t="str">
        <f t="shared" si="132"/>
        <v/>
      </c>
      <c r="I1688" s="391" t="str">
        <f t="shared" si="133"/>
        <v/>
      </c>
      <c r="J1688" s="391" t="str">
        <f t="shared" si="134"/>
        <v/>
      </c>
      <c r="K1688" s="391" t="str">
        <f t="shared" si="135"/>
        <v/>
      </c>
    </row>
    <row r="1689" spans="8:11">
      <c r="H1689" s="391" t="str">
        <f t="shared" si="132"/>
        <v/>
      </c>
      <c r="I1689" s="391" t="str">
        <f t="shared" si="133"/>
        <v/>
      </c>
      <c r="J1689" s="391" t="str">
        <f t="shared" si="134"/>
        <v/>
      </c>
      <c r="K1689" s="391" t="str">
        <f t="shared" si="135"/>
        <v/>
      </c>
    </row>
    <row r="1690" spans="8:11">
      <c r="H1690" s="391" t="str">
        <f t="shared" si="132"/>
        <v/>
      </c>
      <c r="I1690" s="391" t="str">
        <f t="shared" si="133"/>
        <v/>
      </c>
      <c r="J1690" s="391" t="str">
        <f t="shared" si="134"/>
        <v/>
      </c>
      <c r="K1690" s="391" t="str">
        <f t="shared" si="135"/>
        <v/>
      </c>
    </row>
    <row r="1691" spans="8:11">
      <c r="H1691" s="391" t="str">
        <f t="shared" si="132"/>
        <v/>
      </c>
      <c r="I1691" s="391" t="str">
        <f t="shared" si="133"/>
        <v/>
      </c>
      <c r="J1691" s="391" t="str">
        <f t="shared" si="134"/>
        <v/>
      </c>
      <c r="K1691" s="391" t="str">
        <f t="shared" si="135"/>
        <v/>
      </c>
    </row>
    <row r="1692" spans="8:11">
      <c r="H1692" s="391" t="str">
        <f t="shared" si="132"/>
        <v/>
      </c>
      <c r="I1692" s="391" t="str">
        <f t="shared" si="133"/>
        <v/>
      </c>
      <c r="J1692" s="391" t="str">
        <f t="shared" si="134"/>
        <v/>
      </c>
      <c r="K1692" s="391" t="str">
        <f t="shared" si="135"/>
        <v/>
      </c>
    </row>
    <row r="1693" spans="8:11">
      <c r="H1693" s="391" t="str">
        <f t="shared" si="132"/>
        <v/>
      </c>
      <c r="I1693" s="391" t="str">
        <f t="shared" si="133"/>
        <v/>
      </c>
      <c r="J1693" s="391" t="str">
        <f t="shared" si="134"/>
        <v/>
      </c>
      <c r="K1693" s="391" t="str">
        <f t="shared" si="135"/>
        <v/>
      </c>
    </row>
    <row r="1694" spans="8:11">
      <c r="H1694" s="391" t="str">
        <f t="shared" si="132"/>
        <v/>
      </c>
      <c r="I1694" s="391" t="str">
        <f t="shared" si="133"/>
        <v/>
      </c>
      <c r="J1694" s="391" t="str">
        <f t="shared" si="134"/>
        <v/>
      </c>
      <c r="K1694" s="391" t="str">
        <f t="shared" si="135"/>
        <v/>
      </c>
    </row>
    <row r="1695" spans="8:11">
      <c r="H1695" s="391" t="str">
        <f t="shared" si="132"/>
        <v/>
      </c>
      <c r="I1695" s="391" t="str">
        <f t="shared" si="133"/>
        <v/>
      </c>
      <c r="J1695" s="391" t="str">
        <f t="shared" si="134"/>
        <v/>
      </c>
      <c r="K1695" s="391" t="str">
        <f t="shared" si="135"/>
        <v/>
      </c>
    </row>
    <row r="1696" spans="8:11">
      <c r="H1696" s="391" t="str">
        <f t="shared" si="132"/>
        <v/>
      </c>
      <c r="I1696" s="391" t="str">
        <f t="shared" si="133"/>
        <v/>
      </c>
      <c r="J1696" s="391" t="str">
        <f t="shared" si="134"/>
        <v/>
      </c>
      <c r="K1696" s="391" t="str">
        <f t="shared" si="135"/>
        <v/>
      </c>
    </row>
    <row r="1697" spans="8:11">
      <c r="H1697" s="391" t="str">
        <f t="shared" si="132"/>
        <v/>
      </c>
      <c r="I1697" s="391" t="str">
        <f t="shared" si="133"/>
        <v/>
      </c>
      <c r="J1697" s="391" t="str">
        <f t="shared" si="134"/>
        <v/>
      </c>
      <c r="K1697" s="391" t="str">
        <f t="shared" si="135"/>
        <v/>
      </c>
    </row>
    <row r="1698" spans="8:11">
      <c r="H1698" s="391" t="str">
        <f t="shared" si="132"/>
        <v/>
      </c>
      <c r="I1698" s="391" t="str">
        <f t="shared" si="133"/>
        <v/>
      </c>
      <c r="J1698" s="391" t="str">
        <f t="shared" si="134"/>
        <v/>
      </c>
      <c r="K1698" s="391" t="str">
        <f t="shared" si="135"/>
        <v/>
      </c>
    </row>
    <row r="1699" spans="8:11">
      <c r="H1699" s="391" t="str">
        <f t="shared" si="132"/>
        <v/>
      </c>
      <c r="I1699" s="391" t="str">
        <f t="shared" si="133"/>
        <v/>
      </c>
      <c r="J1699" s="391" t="str">
        <f t="shared" si="134"/>
        <v/>
      </c>
      <c r="K1699" s="391" t="str">
        <f t="shared" si="135"/>
        <v/>
      </c>
    </row>
    <row r="1700" spans="8:11">
      <c r="H1700" s="391" t="str">
        <f t="shared" si="132"/>
        <v/>
      </c>
      <c r="I1700" s="391" t="str">
        <f t="shared" si="133"/>
        <v/>
      </c>
      <c r="J1700" s="391" t="str">
        <f t="shared" si="134"/>
        <v/>
      </c>
      <c r="K1700" s="391" t="str">
        <f t="shared" si="135"/>
        <v/>
      </c>
    </row>
    <row r="1701" spans="8:11">
      <c r="H1701" s="391" t="str">
        <f t="shared" si="132"/>
        <v/>
      </c>
      <c r="I1701" s="391" t="str">
        <f t="shared" si="133"/>
        <v/>
      </c>
      <c r="J1701" s="391" t="str">
        <f t="shared" si="134"/>
        <v/>
      </c>
      <c r="K1701" s="391" t="str">
        <f t="shared" si="135"/>
        <v/>
      </c>
    </row>
    <row r="1702" spans="8:11">
      <c r="H1702" s="391" t="str">
        <f t="shared" si="132"/>
        <v/>
      </c>
      <c r="I1702" s="391" t="str">
        <f t="shared" si="133"/>
        <v/>
      </c>
      <c r="J1702" s="391" t="str">
        <f t="shared" si="134"/>
        <v/>
      </c>
      <c r="K1702" s="391" t="str">
        <f t="shared" si="135"/>
        <v/>
      </c>
    </row>
    <row r="1703" spans="8:11">
      <c r="H1703" s="391" t="str">
        <f t="shared" si="132"/>
        <v/>
      </c>
      <c r="I1703" s="391" t="str">
        <f t="shared" si="133"/>
        <v/>
      </c>
      <c r="J1703" s="391" t="str">
        <f t="shared" si="134"/>
        <v/>
      </c>
      <c r="K1703" s="391" t="str">
        <f t="shared" si="135"/>
        <v/>
      </c>
    </row>
    <row r="1704" spans="8:11">
      <c r="H1704" s="391" t="str">
        <f t="shared" si="132"/>
        <v/>
      </c>
      <c r="I1704" s="391" t="str">
        <f t="shared" si="133"/>
        <v/>
      </c>
      <c r="J1704" s="391" t="str">
        <f t="shared" si="134"/>
        <v/>
      </c>
      <c r="K1704" s="391" t="str">
        <f t="shared" si="135"/>
        <v/>
      </c>
    </row>
    <row r="1705" spans="8:11">
      <c r="H1705" s="391" t="str">
        <f t="shared" ref="H1705:H1768" si="136">IF($C727="","",ROUND(($B$2*$F727*($B$5/1000))/$B$6,2))</f>
        <v/>
      </c>
      <c r="I1705" s="391" t="str">
        <f t="shared" ref="I1705:I1768" si="137">IF($C727="","",ROUND(($B$3*$F727*($B$5/1000))/$B$6,2))</f>
        <v/>
      </c>
      <c r="J1705" s="391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1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>
      <c r="H1706" s="391" t="str">
        <f t="shared" si="136"/>
        <v/>
      </c>
      <c r="I1706" s="391" t="str">
        <f t="shared" si="137"/>
        <v/>
      </c>
      <c r="J1706" s="391" t="str">
        <f t="shared" si="138"/>
        <v/>
      </c>
      <c r="K1706" s="391" t="str">
        <f t="shared" si="139"/>
        <v/>
      </c>
    </row>
    <row r="1707" spans="8:11">
      <c r="H1707" s="391" t="str">
        <f t="shared" si="136"/>
        <v/>
      </c>
      <c r="I1707" s="391" t="str">
        <f t="shared" si="137"/>
        <v/>
      </c>
      <c r="J1707" s="391" t="str">
        <f t="shared" si="138"/>
        <v/>
      </c>
      <c r="K1707" s="391" t="str">
        <f t="shared" si="139"/>
        <v/>
      </c>
    </row>
    <row r="1708" spans="8:11">
      <c r="H1708" s="391" t="str">
        <f t="shared" si="136"/>
        <v/>
      </c>
      <c r="I1708" s="391" t="str">
        <f t="shared" si="137"/>
        <v/>
      </c>
      <c r="J1708" s="391" t="str">
        <f t="shared" si="138"/>
        <v/>
      </c>
      <c r="K1708" s="391" t="str">
        <f t="shared" si="139"/>
        <v/>
      </c>
    </row>
    <row r="1709" spans="8:11">
      <c r="H1709" s="391" t="str">
        <f t="shared" si="136"/>
        <v/>
      </c>
      <c r="I1709" s="391" t="str">
        <f t="shared" si="137"/>
        <v/>
      </c>
      <c r="J1709" s="391" t="str">
        <f t="shared" si="138"/>
        <v/>
      </c>
      <c r="K1709" s="391" t="str">
        <f t="shared" si="139"/>
        <v/>
      </c>
    </row>
    <row r="1710" spans="8:11">
      <c r="H1710" s="391" t="str">
        <f t="shared" si="136"/>
        <v/>
      </c>
      <c r="I1710" s="391" t="str">
        <f t="shared" si="137"/>
        <v/>
      </c>
      <c r="J1710" s="391" t="str">
        <f t="shared" si="138"/>
        <v/>
      </c>
      <c r="K1710" s="391" t="str">
        <f t="shared" si="139"/>
        <v/>
      </c>
    </row>
    <row r="1711" spans="8:11">
      <c r="H1711" s="391" t="str">
        <f t="shared" si="136"/>
        <v/>
      </c>
      <c r="I1711" s="391" t="str">
        <f t="shared" si="137"/>
        <v/>
      </c>
      <c r="J1711" s="391" t="str">
        <f t="shared" si="138"/>
        <v/>
      </c>
      <c r="K1711" s="391" t="str">
        <f t="shared" si="139"/>
        <v/>
      </c>
    </row>
    <row r="1712" spans="8:11">
      <c r="H1712" s="391" t="str">
        <f t="shared" si="136"/>
        <v/>
      </c>
      <c r="I1712" s="391" t="str">
        <f t="shared" si="137"/>
        <v/>
      </c>
      <c r="J1712" s="391" t="str">
        <f t="shared" si="138"/>
        <v/>
      </c>
      <c r="K1712" s="391" t="str">
        <f t="shared" si="139"/>
        <v/>
      </c>
    </row>
    <row r="1713" spans="8:11">
      <c r="H1713" s="391" t="str">
        <f t="shared" si="136"/>
        <v/>
      </c>
      <c r="I1713" s="391" t="str">
        <f t="shared" si="137"/>
        <v/>
      </c>
      <c r="J1713" s="391" t="str">
        <f t="shared" si="138"/>
        <v/>
      </c>
      <c r="K1713" s="391" t="str">
        <f t="shared" si="139"/>
        <v/>
      </c>
    </row>
    <row r="1714" spans="8:11">
      <c r="H1714" s="391" t="str">
        <f t="shared" si="136"/>
        <v/>
      </c>
      <c r="I1714" s="391" t="str">
        <f t="shared" si="137"/>
        <v/>
      </c>
      <c r="J1714" s="391" t="str">
        <f t="shared" si="138"/>
        <v/>
      </c>
      <c r="K1714" s="391" t="str">
        <f t="shared" si="139"/>
        <v/>
      </c>
    </row>
    <row r="1715" spans="8:11">
      <c r="H1715" s="391" t="str">
        <f t="shared" si="136"/>
        <v/>
      </c>
      <c r="I1715" s="391" t="str">
        <f t="shared" si="137"/>
        <v/>
      </c>
      <c r="J1715" s="391" t="str">
        <f t="shared" si="138"/>
        <v/>
      </c>
      <c r="K1715" s="391" t="str">
        <f t="shared" si="139"/>
        <v/>
      </c>
    </row>
    <row r="1716" spans="8:11">
      <c r="H1716" s="391" t="str">
        <f t="shared" si="136"/>
        <v/>
      </c>
      <c r="I1716" s="391" t="str">
        <f t="shared" si="137"/>
        <v/>
      </c>
      <c r="J1716" s="391" t="str">
        <f t="shared" si="138"/>
        <v/>
      </c>
      <c r="K1716" s="391" t="str">
        <f t="shared" si="139"/>
        <v/>
      </c>
    </row>
    <row r="1717" spans="8:11">
      <c r="H1717" s="391" t="str">
        <f t="shared" si="136"/>
        <v/>
      </c>
      <c r="I1717" s="391" t="str">
        <f t="shared" si="137"/>
        <v/>
      </c>
      <c r="J1717" s="391" t="str">
        <f t="shared" si="138"/>
        <v/>
      </c>
      <c r="K1717" s="391" t="str">
        <f t="shared" si="139"/>
        <v/>
      </c>
    </row>
    <row r="1718" spans="8:11">
      <c r="H1718" s="391" t="str">
        <f t="shared" si="136"/>
        <v/>
      </c>
      <c r="I1718" s="391" t="str">
        <f t="shared" si="137"/>
        <v/>
      </c>
      <c r="J1718" s="391" t="str">
        <f t="shared" si="138"/>
        <v/>
      </c>
      <c r="K1718" s="391" t="str">
        <f t="shared" si="139"/>
        <v/>
      </c>
    </row>
    <row r="1719" spans="8:11">
      <c r="H1719" s="391" t="str">
        <f t="shared" si="136"/>
        <v/>
      </c>
      <c r="I1719" s="391" t="str">
        <f t="shared" si="137"/>
        <v/>
      </c>
      <c r="J1719" s="391" t="str">
        <f t="shared" si="138"/>
        <v/>
      </c>
      <c r="K1719" s="391" t="str">
        <f t="shared" si="139"/>
        <v/>
      </c>
    </row>
    <row r="1720" spans="8:11">
      <c r="H1720" s="391" t="str">
        <f t="shared" si="136"/>
        <v/>
      </c>
      <c r="I1720" s="391" t="str">
        <f t="shared" si="137"/>
        <v/>
      </c>
      <c r="J1720" s="391" t="str">
        <f t="shared" si="138"/>
        <v/>
      </c>
      <c r="K1720" s="391" t="str">
        <f t="shared" si="139"/>
        <v/>
      </c>
    </row>
    <row r="1721" spans="8:11">
      <c r="H1721" s="391" t="str">
        <f t="shared" si="136"/>
        <v/>
      </c>
      <c r="I1721" s="391" t="str">
        <f t="shared" si="137"/>
        <v/>
      </c>
      <c r="J1721" s="391" t="str">
        <f t="shared" si="138"/>
        <v/>
      </c>
      <c r="K1721" s="391" t="str">
        <f t="shared" si="139"/>
        <v/>
      </c>
    </row>
    <row r="1722" spans="8:11">
      <c r="H1722" s="391" t="str">
        <f t="shared" si="136"/>
        <v/>
      </c>
      <c r="I1722" s="391" t="str">
        <f t="shared" si="137"/>
        <v/>
      </c>
      <c r="J1722" s="391" t="str">
        <f t="shared" si="138"/>
        <v/>
      </c>
      <c r="K1722" s="391" t="str">
        <f t="shared" si="139"/>
        <v/>
      </c>
    </row>
    <row r="1723" spans="8:11">
      <c r="H1723" s="391" t="str">
        <f t="shared" si="136"/>
        <v/>
      </c>
      <c r="I1723" s="391" t="str">
        <f t="shared" si="137"/>
        <v/>
      </c>
      <c r="J1723" s="391" t="str">
        <f t="shared" si="138"/>
        <v/>
      </c>
      <c r="K1723" s="391" t="str">
        <f t="shared" si="139"/>
        <v/>
      </c>
    </row>
    <row r="1724" spans="8:11">
      <c r="H1724" s="391" t="str">
        <f t="shared" si="136"/>
        <v/>
      </c>
      <c r="I1724" s="391" t="str">
        <f t="shared" si="137"/>
        <v/>
      </c>
      <c r="J1724" s="391" t="str">
        <f t="shared" si="138"/>
        <v/>
      </c>
      <c r="K1724" s="391" t="str">
        <f t="shared" si="139"/>
        <v/>
      </c>
    </row>
    <row r="1725" spans="8:11">
      <c r="H1725" s="391" t="str">
        <f t="shared" si="136"/>
        <v/>
      </c>
      <c r="I1725" s="391" t="str">
        <f t="shared" si="137"/>
        <v/>
      </c>
      <c r="J1725" s="391" t="str">
        <f t="shared" si="138"/>
        <v/>
      </c>
      <c r="K1725" s="391" t="str">
        <f t="shared" si="139"/>
        <v/>
      </c>
    </row>
    <row r="1726" spans="8:11">
      <c r="H1726" s="391" t="str">
        <f t="shared" si="136"/>
        <v/>
      </c>
      <c r="I1726" s="391" t="str">
        <f t="shared" si="137"/>
        <v/>
      </c>
      <c r="J1726" s="391" t="str">
        <f t="shared" si="138"/>
        <v/>
      </c>
      <c r="K1726" s="391" t="str">
        <f t="shared" si="139"/>
        <v/>
      </c>
    </row>
    <row r="1727" spans="8:11">
      <c r="H1727" s="391" t="str">
        <f t="shared" si="136"/>
        <v/>
      </c>
      <c r="I1727" s="391" t="str">
        <f t="shared" si="137"/>
        <v/>
      </c>
      <c r="J1727" s="391" t="str">
        <f t="shared" si="138"/>
        <v/>
      </c>
      <c r="K1727" s="391" t="str">
        <f t="shared" si="139"/>
        <v/>
      </c>
    </row>
    <row r="1728" spans="8:11">
      <c r="H1728" s="391" t="str">
        <f t="shared" si="136"/>
        <v/>
      </c>
      <c r="I1728" s="391" t="str">
        <f t="shared" si="137"/>
        <v/>
      </c>
      <c r="J1728" s="391" t="str">
        <f t="shared" si="138"/>
        <v/>
      </c>
      <c r="K1728" s="391" t="str">
        <f t="shared" si="139"/>
        <v/>
      </c>
    </row>
    <row r="1729" spans="8:11">
      <c r="H1729" s="391" t="str">
        <f t="shared" si="136"/>
        <v/>
      </c>
      <c r="I1729" s="391" t="str">
        <f t="shared" si="137"/>
        <v/>
      </c>
      <c r="J1729" s="391" t="str">
        <f t="shared" si="138"/>
        <v/>
      </c>
      <c r="K1729" s="391" t="str">
        <f t="shared" si="139"/>
        <v/>
      </c>
    </row>
    <row r="1730" spans="8:11">
      <c r="H1730" s="391" t="str">
        <f t="shared" si="136"/>
        <v/>
      </c>
      <c r="I1730" s="391" t="str">
        <f t="shared" si="137"/>
        <v/>
      </c>
      <c r="J1730" s="391" t="str">
        <f t="shared" si="138"/>
        <v/>
      </c>
      <c r="K1730" s="391" t="str">
        <f t="shared" si="139"/>
        <v/>
      </c>
    </row>
    <row r="1731" spans="8:11">
      <c r="H1731" s="391" t="str">
        <f t="shared" si="136"/>
        <v/>
      </c>
      <c r="I1731" s="391" t="str">
        <f t="shared" si="137"/>
        <v/>
      </c>
      <c r="J1731" s="391" t="str">
        <f t="shared" si="138"/>
        <v/>
      </c>
      <c r="K1731" s="391" t="str">
        <f t="shared" si="139"/>
        <v/>
      </c>
    </row>
    <row r="1732" spans="8:11">
      <c r="H1732" s="391" t="str">
        <f t="shared" si="136"/>
        <v/>
      </c>
      <c r="I1732" s="391" t="str">
        <f t="shared" si="137"/>
        <v/>
      </c>
      <c r="J1732" s="391" t="str">
        <f t="shared" si="138"/>
        <v/>
      </c>
      <c r="K1732" s="391" t="str">
        <f t="shared" si="139"/>
        <v/>
      </c>
    </row>
    <row r="1733" spans="8:11">
      <c r="H1733" s="391" t="str">
        <f t="shared" si="136"/>
        <v/>
      </c>
      <c r="I1733" s="391" t="str">
        <f t="shared" si="137"/>
        <v/>
      </c>
      <c r="J1733" s="391" t="str">
        <f t="shared" si="138"/>
        <v/>
      </c>
      <c r="K1733" s="391" t="str">
        <f t="shared" si="139"/>
        <v/>
      </c>
    </row>
    <row r="1734" spans="8:11">
      <c r="H1734" s="391" t="str">
        <f t="shared" si="136"/>
        <v/>
      </c>
      <c r="I1734" s="391" t="str">
        <f t="shared" si="137"/>
        <v/>
      </c>
      <c r="J1734" s="391" t="str">
        <f t="shared" si="138"/>
        <v/>
      </c>
      <c r="K1734" s="391" t="str">
        <f t="shared" si="139"/>
        <v/>
      </c>
    </row>
    <row r="1735" spans="8:11">
      <c r="H1735" s="391" t="str">
        <f t="shared" si="136"/>
        <v/>
      </c>
      <c r="I1735" s="391" t="str">
        <f t="shared" si="137"/>
        <v/>
      </c>
      <c r="J1735" s="391" t="str">
        <f t="shared" si="138"/>
        <v/>
      </c>
      <c r="K1735" s="391" t="str">
        <f t="shared" si="139"/>
        <v/>
      </c>
    </row>
    <row r="1736" spans="8:11">
      <c r="H1736" s="391" t="str">
        <f t="shared" si="136"/>
        <v/>
      </c>
      <c r="I1736" s="391" t="str">
        <f t="shared" si="137"/>
        <v/>
      </c>
      <c r="J1736" s="391" t="str">
        <f t="shared" si="138"/>
        <v/>
      </c>
      <c r="K1736" s="391" t="str">
        <f t="shared" si="139"/>
        <v/>
      </c>
    </row>
    <row r="1737" spans="8:11">
      <c r="H1737" s="391" t="str">
        <f t="shared" si="136"/>
        <v/>
      </c>
      <c r="I1737" s="391" t="str">
        <f t="shared" si="137"/>
        <v/>
      </c>
      <c r="J1737" s="391" t="str">
        <f t="shared" si="138"/>
        <v/>
      </c>
      <c r="K1737" s="391" t="str">
        <f t="shared" si="139"/>
        <v/>
      </c>
    </row>
    <row r="1738" spans="8:11">
      <c r="H1738" s="391" t="str">
        <f t="shared" si="136"/>
        <v/>
      </c>
      <c r="I1738" s="391" t="str">
        <f t="shared" si="137"/>
        <v/>
      </c>
      <c r="J1738" s="391" t="str">
        <f t="shared" si="138"/>
        <v/>
      </c>
      <c r="K1738" s="391" t="str">
        <f t="shared" si="139"/>
        <v/>
      </c>
    </row>
    <row r="1739" spans="8:11">
      <c r="H1739" s="391" t="str">
        <f t="shared" si="136"/>
        <v/>
      </c>
      <c r="I1739" s="391" t="str">
        <f t="shared" si="137"/>
        <v/>
      </c>
      <c r="J1739" s="391" t="str">
        <f t="shared" si="138"/>
        <v/>
      </c>
      <c r="K1739" s="391" t="str">
        <f t="shared" si="139"/>
        <v/>
      </c>
    </row>
    <row r="1740" spans="8:11">
      <c r="H1740" s="391" t="str">
        <f t="shared" si="136"/>
        <v/>
      </c>
      <c r="I1740" s="391" t="str">
        <f t="shared" si="137"/>
        <v/>
      </c>
      <c r="J1740" s="391" t="str">
        <f t="shared" si="138"/>
        <v/>
      </c>
      <c r="K1740" s="391" t="str">
        <f t="shared" si="139"/>
        <v/>
      </c>
    </row>
    <row r="1741" spans="8:11">
      <c r="H1741" s="391" t="str">
        <f t="shared" si="136"/>
        <v/>
      </c>
      <c r="I1741" s="391" t="str">
        <f t="shared" si="137"/>
        <v/>
      </c>
      <c r="J1741" s="391" t="str">
        <f t="shared" si="138"/>
        <v/>
      </c>
      <c r="K1741" s="391" t="str">
        <f t="shared" si="139"/>
        <v/>
      </c>
    </row>
    <row r="1742" spans="8:11">
      <c r="H1742" s="391" t="str">
        <f t="shared" si="136"/>
        <v/>
      </c>
      <c r="I1742" s="391" t="str">
        <f t="shared" si="137"/>
        <v/>
      </c>
      <c r="J1742" s="391" t="str">
        <f t="shared" si="138"/>
        <v/>
      </c>
      <c r="K1742" s="391" t="str">
        <f t="shared" si="139"/>
        <v/>
      </c>
    </row>
    <row r="1743" spans="8:11">
      <c r="H1743" s="391" t="str">
        <f t="shared" si="136"/>
        <v/>
      </c>
      <c r="I1743" s="391" t="str">
        <f t="shared" si="137"/>
        <v/>
      </c>
      <c r="J1743" s="391" t="str">
        <f t="shared" si="138"/>
        <v/>
      </c>
      <c r="K1743" s="391" t="str">
        <f t="shared" si="139"/>
        <v/>
      </c>
    </row>
    <row r="1744" spans="8:11">
      <c r="H1744" s="391" t="str">
        <f t="shared" si="136"/>
        <v/>
      </c>
      <c r="I1744" s="391" t="str">
        <f t="shared" si="137"/>
        <v/>
      </c>
      <c r="J1744" s="391" t="str">
        <f t="shared" si="138"/>
        <v/>
      </c>
      <c r="K1744" s="391" t="str">
        <f t="shared" si="139"/>
        <v/>
      </c>
    </row>
    <row r="1745" spans="8:11">
      <c r="H1745" s="391" t="str">
        <f t="shared" si="136"/>
        <v/>
      </c>
      <c r="I1745" s="391" t="str">
        <f t="shared" si="137"/>
        <v/>
      </c>
      <c r="J1745" s="391" t="str">
        <f t="shared" si="138"/>
        <v/>
      </c>
      <c r="K1745" s="391" t="str">
        <f t="shared" si="139"/>
        <v/>
      </c>
    </row>
    <row r="1746" spans="8:11">
      <c r="H1746" s="391" t="str">
        <f t="shared" si="136"/>
        <v/>
      </c>
      <c r="I1746" s="391" t="str">
        <f t="shared" si="137"/>
        <v/>
      </c>
      <c r="J1746" s="391" t="str">
        <f t="shared" si="138"/>
        <v/>
      </c>
      <c r="K1746" s="391" t="str">
        <f t="shared" si="139"/>
        <v/>
      </c>
    </row>
    <row r="1747" spans="8:11">
      <c r="H1747" s="391" t="str">
        <f t="shared" si="136"/>
        <v/>
      </c>
      <c r="I1747" s="391" t="str">
        <f t="shared" si="137"/>
        <v/>
      </c>
      <c r="J1747" s="391" t="str">
        <f t="shared" si="138"/>
        <v/>
      </c>
      <c r="K1747" s="391" t="str">
        <f t="shared" si="139"/>
        <v/>
      </c>
    </row>
    <row r="1748" spans="8:11">
      <c r="H1748" s="391" t="str">
        <f t="shared" si="136"/>
        <v/>
      </c>
      <c r="I1748" s="391" t="str">
        <f t="shared" si="137"/>
        <v/>
      </c>
      <c r="J1748" s="391" t="str">
        <f t="shared" si="138"/>
        <v/>
      </c>
      <c r="K1748" s="391" t="str">
        <f t="shared" si="139"/>
        <v/>
      </c>
    </row>
    <row r="1749" spans="8:11">
      <c r="H1749" s="391" t="str">
        <f t="shared" si="136"/>
        <v/>
      </c>
      <c r="I1749" s="391" t="str">
        <f t="shared" si="137"/>
        <v/>
      </c>
      <c r="J1749" s="391" t="str">
        <f t="shared" si="138"/>
        <v/>
      </c>
      <c r="K1749" s="391" t="str">
        <f t="shared" si="139"/>
        <v/>
      </c>
    </row>
    <row r="1750" spans="8:11">
      <c r="H1750" s="391" t="str">
        <f t="shared" si="136"/>
        <v/>
      </c>
      <c r="I1750" s="391" t="str">
        <f t="shared" si="137"/>
        <v/>
      </c>
      <c r="J1750" s="391" t="str">
        <f t="shared" si="138"/>
        <v/>
      </c>
      <c r="K1750" s="391" t="str">
        <f t="shared" si="139"/>
        <v/>
      </c>
    </row>
    <row r="1751" spans="8:11">
      <c r="H1751" s="391" t="str">
        <f t="shared" si="136"/>
        <v/>
      </c>
      <c r="I1751" s="391" t="str">
        <f t="shared" si="137"/>
        <v/>
      </c>
      <c r="J1751" s="391" t="str">
        <f t="shared" si="138"/>
        <v/>
      </c>
      <c r="K1751" s="391" t="str">
        <f t="shared" si="139"/>
        <v/>
      </c>
    </row>
    <row r="1752" spans="8:11">
      <c r="H1752" s="391" t="str">
        <f t="shared" si="136"/>
        <v/>
      </c>
      <c r="I1752" s="391" t="str">
        <f t="shared" si="137"/>
        <v/>
      </c>
      <c r="J1752" s="391" t="str">
        <f t="shared" si="138"/>
        <v/>
      </c>
      <c r="K1752" s="391" t="str">
        <f t="shared" si="139"/>
        <v/>
      </c>
    </row>
    <row r="1753" spans="8:11">
      <c r="H1753" s="391" t="str">
        <f t="shared" si="136"/>
        <v/>
      </c>
      <c r="I1753" s="391" t="str">
        <f t="shared" si="137"/>
        <v/>
      </c>
      <c r="J1753" s="391" t="str">
        <f t="shared" si="138"/>
        <v/>
      </c>
      <c r="K1753" s="391" t="str">
        <f t="shared" si="139"/>
        <v/>
      </c>
    </row>
    <row r="1754" spans="8:11">
      <c r="H1754" s="391" t="str">
        <f t="shared" si="136"/>
        <v/>
      </c>
      <c r="I1754" s="391" t="str">
        <f t="shared" si="137"/>
        <v/>
      </c>
      <c r="J1754" s="391" t="str">
        <f t="shared" si="138"/>
        <v/>
      </c>
      <c r="K1754" s="391" t="str">
        <f t="shared" si="139"/>
        <v/>
      </c>
    </row>
    <row r="1755" spans="8:11">
      <c r="H1755" s="391" t="str">
        <f t="shared" si="136"/>
        <v/>
      </c>
      <c r="I1755" s="391" t="str">
        <f t="shared" si="137"/>
        <v/>
      </c>
      <c r="J1755" s="391" t="str">
        <f t="shared" si="138"/>
        <v/>
      </c>
      <c r="K1755" s="391" t="str">
        <f t="shared" si="139"/>
        <v/>
      </c>
    </row>
    <row r="1756" spans="8:11">
      <c r="H1756" s="391" t="str">
        <f t="shared" si="136"/>
        <v/>
      </c>
      <c r="I1756" s="391" t="str">
        <f t="shared" si="137"/>
        <v/>
      </c>
      <c r="J1756" s="391" t="str">
        <f t="shared" si="138"/>
        <v/>
      </c>
      <c r="K1756" s="391" t="str">
        <f t="shared" si="139"/>
        <v/>
      </c>
    </row>
    <row r="1757" spans="8:11">
      <c r="H1757" s="391" t="str">
        <f t="shared" si="136"/>
        <v/>
      </c>
      <c r="I1757" s="391" t="str">
        <f t="shared" si="137"/>
        <v/>
      </c>
      <c r="J1757" s="391" t="str">
        <f t="shared" si="138"/>
        <v/>
      </c>
      <c r="K1757" s="391" t="str">
        <f t="shared" si="139"/>
        <v/>
      </c>
    </row>
    <row r="1758" spans="8:11">
      <c r="H1758" s="391" t="str">
        <f t="shared" si="136"/>
        <v/>
      </c>
      <c r="I1758" s="391" t="str">
        <f t="shared" si="137"/>
        <v/>
      </c>
      <c r="J1758" s="391" t="str">
        <f t="shared" si="138"/>
        <v/>
      </c>
      <c r="K1758" s="391" t="str">
        <f t="shared" si="139"/>
        <v/>
      </c>
    </row>
    <row r="1759" spans="8:11">
      <c r="H1759" s="391" t="str">
        <f t="shared" si="136"/>
        <v/>
      </c>
      <c r="I1759" s="391" t="str">
        <f t="shared" si="137"/>
        <v/>
      </c>
      <c r="J1759" s="391" t="str">
        <f t="shared" si="138"/>
        <v/>
      </c>
      <c r="K1759" s="391" t="str">
        <f t="shared" si="139"/>
        <v/>
      </c>
    </row>
    <row r="1760" spans="8:11">
      <c r="H1760" s="391" t="str">
        <f t="shared" si="136"/>
        <v/>
      </c>
      <c r="I1760" s="391" t="str">
        <f t="shared" si="137"/>
        <v/>
      </c>
      <c r="J1760" s="391" t="str">
        <f t="shared" si="138"/>
        <v/>
      </c>
      <c r="K1760" s="391" t="str">
        <f t="shared" si="139"/>
        <v/>
      </c>
    </row>
    <row r="1761" spans="8:11">
      <c r="H1761" s="391" t="str">
        <f t="shared" si="136"/>
        <v/>
      </c>
      <c r="I1761" s="391" t="str">
        <f t="shared" si="137"/>
        <v/>
      </c>
      <c r="J1761" s="391" t="str">
        <f t="shared" si="138"/>
        <v/>
      </c>
      <c r="K1761" s="391" t="str">
        <f t="shared" si="139"/>
        <v/>
      </c>
    </row>
    <row r="1762" spans="8:11">
      <c r="H1762" s="391" t="str">
        <f t="shared" si="136"/>
        <v/>
      </c>
      <c r="I1762" s="391" t="str">
        <f t="shared" si="137"/>
        <v/>
      </c>
      <c r="J1762" s="391" t="str">
        <f t="shared" si="138"/>
        <v/>
      </c>
      <c r="K1762" s="391" t="str">
        <f t="shared" si="139"/>
        <v/>
      </c>
    </row>
    <row r="1763" spans="8:11">
      <c r="H1763" s="391" t="str">
        <f t="shared" si="136"/>
        <v/>
      </c>
      <c r="I1763" s="391" t="str">
        <f t="shared" si="137"/>
        <v/>
      </c>
      <c r="J1763" s="391" t="str">
        <f t="shared" si="138"/>
        <v/>
      </c>
      <c r="K1763" s="391" t="str">
        <f t="shared" si="139"/>
        <v/>
      </c>
    </row>
    <row r="1764" spans="8:11">
      <c r="H1764" s="391" t="str">
        <f t="shared" si="136"/>
        <v/>
      </c>
      <c r="I1764" s="391" t="str">
        <f t="shared" si="137"/>
        <v/>
      </c>
      <c r="J1764" s="391" t="str">
        <f t="shared" si="138"/>
        <v/>
      </c>
      <c r="K1764" s="391" t="str">
        <f t="shared" si="139"/>
        <v/>
      </c>
    </row>
    <row r="1765" spans="8:11">
      <c r="H1765" s="391" t="str">
        <f t="shared" si="136"/>
        <v/>
      </c>
      <c r="I1765" s="391" t="str">
        <f t="shared" si="137"/>
        <v/>
      </c>
      <c r="J1765" s="391" t="str">
        <f t="shared" si="138"/>
        <v/>
      </c>
      <c r="K1765" s="391" t="str">
        <f t="shared" si="139"/>
        <v/>
      </c>
    </row>
    <row r="1766" spans="8:11">
      <c r="H1766" s="391" t="str">
        <f t="shared" si="136"/>
        <v/>
      </c>
      <c r="I1766" s="391" t="str">
        <f t="shared" si="137"/>
        <v/>
      </c>
      <c r="J1766" s="391" t="str">
        <f t="shared" si="138"/>
        <v/>
      </c>
      <c r="K1766" s="391" t="str">
        <f t="shared" si="139"/>
        <v/>
      </c>
    </row>
    <row r="1767" spans="8:11">
      <c r="H1767" s="391" t="str">
        <f t="shared" si="136"/>
        <v/>
      </c>
      <c r="I1767" s="391" t="str">
        <f t="shared" si="137"/>
        <v/>
      </c>
      <c r="J1767" s="391" t="str">
        <f t="shared" si="138"/>
        <v/>
      </c>
      <c r="K1767" s="391" t="str">
        <f t="shared" si="139"/>
        <v/>
      </c>
    </row>
    <row r="1768" spans="8:11">
      <c r="H1768" s="391" t="str">
        <f t="shared" si="136"/>
        <v/>
      </c>
      <c r="I1768" s="391" t="str">
        <f t="shared" si="137"/>
        <v/>
      </c>
      <c r="J1768" s="391" t="str">
        <f t="shared" si="138"/>
        <v/>
      </c>
      <c r="K1768" s="391" t="str">
        <f t="shared" si="139"/>
        <v/>
      </c>
    </row>
    <row r="1769" spans="8:11">
      <c r="H1769" s="391" t="str">
        <f t="shared" ref="H1769:H1832" si="140">IF($C791="","",ROUND(($B$2*$F791*($B$5/1000))/$B$6,2))</f>
        <v/>
      </c>
      <c r="I1769" s="391" t="str">
        <f t="shared" ref="I1769:I1832" si="141">IF($C791="","",ROUND(($B$3*$F791*($B$5/1000))/$B$6,2))</f>
        <v/>
      </c>
      <c r="J1769" s="391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1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>
      <c r="H1770" s="391" t="str">
        <f t="shared" si="140"/>
        <v/>
      </c>
      <c r="I1770" s="391" t="str">
        <f t="shared" si="141"/>
        <v/>
      </c>
      <c r="J1770" s="391" t="str">
        <f t="shared" si="142"/>
        <v/>
      </c>
      <c r="K1770" s="391" t="str">
        <f t="shared" si="143"/>
        <v/>
      </c>
    </row>
    <row r="1771" spans="8:11">
      <c r="H1771" s="391" t="str">
        <f t="shared" si="140"/>
        <v/>
      </c>
      <c r="I1771" s="391" t="str">
        <f t="shared" si="141"/>
        <v/>
      </c>
      <c r="J1771" s="391" t="str">
        <f t="shared" si="142"/>
        <v/>
      </c>
      <c r="K1771" s="391" t="str">
        <f t="shared" si="143"/>
        <v/>
      </c>
    </row>
    <row r="1772" spans="8:11">
      <c r="H1772" s="391" t="str">
        <f t="shared" si="140"/>
        <v/>
      </c>
      <c r="I1772" s="391" t="str">
        <f t="shared" si="141"/>
        <v/>
      </c>
      <c r="J1772" s="391" t="str">
        <f t="shared" si="142"/>
        <v/>
      </c>
      <c r="K1772" s="391" t="str">
        <f t="shared" si="143"/>
        <v/>
      </c>
    </row>
    <row r="1773" spans="8:11">
      <c r="H1773" s="391" t="str">
        <f t="shared" si="140"/>
        <v/>
      </c>
      <c r="I1773" s="391" t="str">
        <f t="shared" si="141"/>
        <v/>
      </c>
      <c r="J1773" s="391" t="str">
        <f t="shared" si="142"/>
        <v/>
      </c>
      <c r="K1773" s="391" t="str">
        <f t="shared" si="143"/>
        <v/>
      </c>
    </row>
    <row r="1774" spans="8:11">
      <c r="H1774" s="391" t="str">
        <f t="shared" si="140"/>
        <v/>
      </c>
      <c r="I1774" s="391" t="str">
        <f t="shared" si="141"/>
        <v/>
      </c>
      <c r="J1774" s="391" t="str">
        <f t="shared" si="142"/>
        <v/>
      </c>
      <c r="K1774" s="391" t="str">
        <f t="shared" si="143"/>
        <v/>
      </c>
    </row>
    <row r="1775" spans="8:11">
      <c r="H1775" s="391" t="str">
        <f t="shared" si="140"/>
        <v/>
      </c>
      <c r="I1775" s="391" t="str">
        <f t="shared" si="141"/>
        <v/>
      </c>
      <c r="J1775" s="391" t="str">
        <f t="shared" si="142"/>
        <v/>
      </c>
      <c r="K1775" s="391" t="str">
        <f t="shared" si="143"/>
        <v/>
      </c>
    </row>
    <row r="1776" spans="8:11">
      <c r="H1776" s="391" t="str">
        <f t="shared" si="140"/>
        <v/>
      </c>
      <c r="I1776" s="391" t="str">
        <f t="shared" si="141"/>
        <v/>
      </c>
      <c r="J1776" s="391" t="str">
        <f t="shared" si="142"/>
        <v/>
      </c>
      <c r="K1776" s="391" t="str">
        <f t="shared" si="143"/>
        <v/>
      </c>
    </row>
    <row r="1777" spans="8:11">
      <c r="H1777" s="391" t="str">
        <f t="shared" si="140"/>
        <v/>
      </c>
      <c r="I1777" s="391" t="str">
        <f t="shared" si="141"/>
        <v/>
      </c>
      <c r="J1777" s="391" t="str">
        <f t="shared" si="142"/>
        <v/>
      </c>
      <c r="K1777" s="391" t="str">
        <f t="shared" si="143"/>
        <v/>
      </c>
    </row>
    <row r="1778" spans="8:11">
      <c r="H1778" s="391" t="str">
        <f t="shared" si="140"/>
        <v/>
      </c>
      <c r="I1778" s="391" t="str">
        <f t="shared" si="141"/>
        <v/>
      </c>
      <c r="J1778" s="391" t="str">
        <f t="shared" si="142"/>
        <v/>
      </c>
      <c r="K1778" s="391" t="str">
        <f t="shared" si="143"/>
        <v/>
      </c>
    </row>
    <row r="1779" spans="8:11">
      <c r="H1779" s="391" t="str">
        <f t="shared" si="140"/>
        <v/>
      </c>
      <c r="I1779" s="391" t="str">
        <f t="shared" si="141"/>
        <v/>
      </c>
      <c r="J1779" s="391" t="str">
        <f t="shared" si="142"/>
        <v/>
      </c>
      <c r="K1779" s="391" t="str">
        <f t="shared" si="143"/>
        <v/>
      </c>
    </row>
    <row r="1780" spans="8:11">
      <c r="H1780" s="391" t="str">
        <f t="shared" si="140"/>
        <v/>
      </c>
      <c r="I1780" s="391" t="str">
        <f t="shared" si="141"/>
        <v/>
      </c>
      <c r="J1780" s="391" t="str">
        <f t="shared" si="142"/>
        <v/>
      </c>
      <c r="K1780" s="391" t="str">
        <f t="shared" si="143"/>
        <v/>
      </c>
    </row>
    <row r="1781" spans="8:11">
      <c r="H1781" s="391" t="str">
        <f t="shared" si="140"/>
        <v/>
      </c>
      <c r="I1781" s="391" t="str">
        <f t="shared" si="141"/>
        <v/>
      </c>
      <c r="J1781" s="391" t="str">
        <f t="shared" si="142"/>
        <v/>
      </c>
      <c r="K1781" s="391" t="str">
        <f t="shared" si="143"/>
        <v/>
      </c>
    </row>
    <row r="1782" spans="8:11">
      <c r="H1782" s="391" t="str">
        <f t="shared" si="140"/>
        <v/>
      </c>
      <c r="I1782" s="391" t="str">
        <f t="shared" si="141"/>
        <v/>
      </c>
      <c r="J1782" s="391" t="str">
        <f t="shared" si="142"/>
        <v/>
      </c>
      <c r="K1782" s="391" t="str">
        <f t="shared" si="143"/>
        <v/>
      </c>
    </row>
    <row r="1783" spans="8:11">
      <c r="H1783" s="391" t="str">
        <f t="shared" si="140"/>
        <v/>
      </c>
      <c r="I1783" s="391" t="str">
        <f t="shared" si="141"/>
        <v/>
      </c>
      <c r="J1783" s="391" t="str">
        <f t="shared" si="142"/>
        <v/>
      </c>
      <c r="K1783" s="391" t="str">
        <f t="shared" si="143"/>
        <v/>
      </c>
    </row>
    <row r="1784" spans="8:11">
      <c r="H1784" s="391" t="str">
        <f t="shared" si="140"/>
        <v/>
      </c>
      <c r="I1784" s="391" t="str">
        <f t="shared" si="141"/>
        <v/>
      </c>
      <c r="J1784" s="391" t="str">
        <f t="shared" si="142"/>
        <v/>
      </c>
      <c r="K1784" s="391" t="str">
        <f t="shared" si="143"/>
        <v/>
      </c>
    </row>
    <row r="1785" spans="8:11">
      <c r="H1785" s="391" t="str">
        <f t="shared" si="140"/>
        <v/>
      </c>
      <c r="I1785" s="391" t="str">
        <f t="shared" si="141"/>
        <v/>
      </c>
      <c r="J1785" s="391" t="str">
        <f t="shared" si="142"/>
        <v/>
      </c>
      <c r="K1785" s="391" t="str">
        <f t="shared" si="143"/>
        <v/>
      </c>
    </row>
    <row r="1786" spans="8:11">
      <c r="H1786" s="391" t="str">
        <f t="shared" si="140"/>
        <v/>
      </c>
      <c r="I1786" s="391" t="str">
        <f t="shared" si="141"/>
        <v/>
      </c>
      <c r="J1786" s="391" t="str">
        <f t="shared" si="142"/>
        <v/>
      </c>
      <c r="K1786" s="391" t="str">
        <f t="shared" si="143"/>
        <v/>
      </c>
    </row>
    <row r="1787" spans="8:11">
      <c r="H1787" s="391" t="str">
        <f t="shared" si="140"/>
        <v/>
      </c>
      <c r="I1787" s="391" t="str">
        <f t="shared" si="141"/>
        <v/>
      </c>
      <c r="J1787" s="391" t="str">
        <f t="shared" si="142"/>
        <v/>
      </c>
      <c r="K1787" s="391" t="str">
        <f t="shared" si="143"/>
        <v/>
      </c>
    </row>
    <row r="1788" spans="8:11">
      <c r="H1788" s="391" t="str">
        <f t="shared" si="140"/>
        <v/>
      </c>
      <c r="I1788" s="391" t="str">
        <f t="shared" si="141"/>
        <v/>
      </c>
      <c r="J1788" s="391" t="str">
        <f t="shared" si="142"/>
        <v/>
      </c>
      <c r="K1788" s="391" t="str">
        <f t="shared" si="143"/>
        <v/>
      </c>
    </row>
    <row r="1789" spans="8:11">
      <c r="H1789" s="391" t="str">
        <f t="shared" si="140"/>
        <v/>
      </c>
      <c r="I1789" s="391" t="str">
        <f t="shared" si="141"/>
        <v/>
      </c>
      <c r="J1789" s="391" t="str">
        <f t="shared" si="142"/>
        <v/>
      </c>
      <c r="K1789" s="391" t="str">
        <f t="shared" si="143"/>
        <v/>
      </c>
    </row>
    <row r="1790" spans="8:11">
      <c r="H1790" s="391" t="str">
        <f t="shared" si="140"/>
        <v/>
      </c>
      <c r="I1790" s="391" t="str">
        <f t="shared" si="141"/>
        <v/>
      </c>
      <c r="J1790" s="391" t="str">
        <f t="shared" si="142"/>
        <v/>
      </c>
      <c r="K1790" s="391" t="str">
        <f t="shared" si="143"/>
        <v/>
      </c>
    </row>
    <row r="1791" spans="8:11">
      <c r="H1791" s="391" t="str">
        <f t="shared" si="140"/>
        <v/>
      </c>
      <c r="I1791" s="391" t="str">
        <f t="shared" si="141"/>
        <v/>
      </c>
      <c r="J1791" s="391" t="str">
        <f t="shared" si="142"/>
        <v/>
      </c>
      <c r="K1791" s="391" t="str">
        <f t="shared" si="143"/>
        <v/>
      </c>
    </row>
    <row r="1792" spans="8:11">
      <c r="H1792" s="391" t="str">
        <f t="shared" si="140"/>
        <v/>
      </c>
      <c r="I1792" s="391" t="str">
        <f t="shared" si="141"/>
        <v/>
      </c>
      <c r="J1792" s="391" t="str">
        <f t="shared" si="142"/>
        <v/>
      </c>
      <c r="K1792" s="391" t="str">
        <f t="shared" si="143"/>
        <v/>
      </c>
    </row>
    <row r="1793" spans="8:11">
      <c r="H1793" s="391" t="str">
        <f t="shared" si="140"/>
        <v/>
      </c>
      <c r="I1793" s="391" t="str">
        <f t="shared" si="141"/>
        <v/>
      </c>
      <c r="J1793" s="391" t="str">
        <f t="shared" si="142"/>
        <v/>
      </c>
      <c r="K1793" s="391" t="str">
        <f t="shared" si="143"/>
        <v/>
      </c>
    </row>
    <row r="1794" spans="8:11">
      <c r="H1794" s="391" t="str">
        <f t="shared" si="140"/>
        <v/>
      </c>
      <c r="I1794" s="391" t="str">
        <f t="shared" si="141"/>
        <v/>
      </c>
      <c r="J1794" s="391" t="str">
        <f t="shared" si="142"/>
        <v/>
      </c>
      <c r="K1794" s="391" t="str">
        <f t="shared" si="143"/>
        <v/>
      </c>
    </row>
    <row r="1795" spans="8:11">
      <c r="H1795" s="391" t="str">
        <f t="shared" si="140"/>
        <v/>
      </c>
      <c r="I1795" s="391" t="str">
        <f t="shared" si="141"/>
        <v/>
      </c>
      <c r="J1795" s="391" t="str">
        <f t="shared" si="142"/>
        <v/>
      </c>
      <c r="K1795" s="391" t="str">
        <f t="shared" si="143"/>
        <v/>
      </c>
    </row>
    <row r="1796" spans="8:11">
      <c r="H1796" s="391" t="str">
        <f t="shared" si="140"/>
        <v/>
      </c>
      <c r="I1796" s="391" t="str">
        <f t="shared" si="141"/>
        <v/>
      </c>
      <c r="J1796" s="391" t="str">
        <f t="shared" si="142"/>
        <v/>
      </c>
      <c r="K1796" s="391" t="str">
        <f t="shared" si="143"/>
        <v/>
      </c>
    </row>
    <row r="1797" spans="8:11">
      <c r="H1797" s="391" t="str">
        <f t="shared" si="140"/>
        <v/>
      </c>
      <c r="I1797" s="391" t="str">
        <f t="shared" si="141"/>
        <v/>
      </c>
      <c r="J1797" s="391" t="str">
        <f t="shared" si="142"/>
        <v/>
      </c>
      <c r="K1797" s="391" t="str">
        <f t="shared" si="143"/>
        <v/>
      </c>
    </row>
    <row r="1798" spans="8:11">
      <c r="H1798" s="391" t="str">
        <f t="shared" si="140"/>
        <v/>
      </c>
      <c r="I1798" s="391" t="str">
        <f t="shared" si="141"/>
        <v/>
      </c>
      <c r="J1798" s="391" t="str">
        <f t="shared" si="142"/>
        <v/>
      </c>
      <c r="K1798" s="391" t="str">
        <f t="shared" si="143"/>
        <v/>
      </c>
    </row>
    <row r="1799" spans="8:11">
      <c r="H1799" s="391" t="str">
        <f t="shared" si="140"/>
        <v/>
      </c>
      <c r="I1799" s="391" t="str">
        <f t="shared" si="141"/>
        <v/>
      </c>
      <c r="J1799" s="391" t="str">
        <f t="shared" si="142"/>
        <v/>
      </c>
      <c r="K1799" s="391" t="str">
        <f t="shared" si="143"/>
        <v/>
      </c>
    </row>
    <row r="1800" spans="8:11">
      <c r="H1800" s="391" t="str">
        <f t="shared" si="140"/>
        <v/>
      </c>
      <c r="I1800" s="391" t="str">
        <f t="shared" si="141"/>
        <v/>
      </c>
      <c r="J1800" s="391" t="str">
        <f t="shared" si="142"/>
        <v/>
      </c>
      <c r="K1800" s="391" t="str">
        <f t="shared" si="143"/>
        <v/>
      </c>
    </row>
    <row r="1801" spans="8:11">
      <c r="H1801" s="391" t="str">
        <f t="shared" si="140"/>
        <v/>
      </c>
      <c r="I1801" s="391" t="str">
        <f t="shared" si="141"/>
        <v/>
      </c>
      <c r="J1801" s="391" t="str">
        <f t="shared" si="142"/>
        <v/>
      </c>
      <c r="K1801" s="391" t="str">
        <f t="shared" si="143"/>
        <v/>
      </c>
    </row>
    <row r="1802" spans="8:11">
      <c r="H1802" s="391" t="str">
        <f t="shared" si="140"/>
        <v/>
      </c>
      <c r="I1802" s="391" t="str">
        <f t="shared" si="141"/>
        <v/>
      </c>
      <c r="J1802" s="391" t="str">
        <f t="shared" si="142"/>
        <v/>
      </c>
      <c r="K1802" s="391" t="str">
        <f t="shared" si="143"/>
        <v/>
      </c>
    </row>
    <row r="1803" spans="8:11">
      <c r="H1803" s="391" t="str">
        <f t="shared" si="140"/>
        <v/>
      </c>
      <c r="I1803" s="391" t="str">
        <f t="shared" si="141"/>
        <v/>
      </c>
      <c r="J1803" s="391" t="str">
        <f t="shared" si="142"/>
        <v/>
      </c>
      <c r="K1803" s="391" t="str">
        <f t="shared" si="143"/>
        <v/>
      </c>
    </row>
    <row r="1804" spans="8:11">
      <c r="H1804" s="391" t="str">
        <f t="shared" si="140"/>
        <v/>
      </c>
      <c r="I1804" s="391" t="str">
        <f t="shared" si="141"/>
        <v/>
      </c>
      <c r="J1804" s="391" t="str">
        <f t="shared" si="142"/>
        <v/>
      </c>
      <c r="K1804" s="391" t="str">
        <f t="shared" si="143"/>
        <v/>
      </c>
    </row>
    <row r="1805" spans="8:11">
      <c r="H1805" s="391" t="str">
        <f t="shared" si="140"/>
        <v/>
      </c>
      <c r="I1805" s="391" t="str">
        <f t="shared" si="141"/>
        <v/>
      </c>
      <c r="J1805" s="391" t="str">
        <f t="shared" si="142"/>
        <v/>
      </c>
      <c r="K1805" s="391" t="str">
        <f t="shared" si="143"/>
        <v/>
      </c>
    </row>
    <row r="1806" spans="8:11">
      <c r="H1806" s="391" t="str">
        <f t="shared" si="140"/>
        <v/>
      </c>
      <c r="I1806" s="391" t="str">
        <f t="shared" si="141"/>
        <v/>
      </c>
      <c r="J1806" s="391" t="str">
        <f t="shared" si="142"/>
        <v/>
      </c>
      <c r="K1806" s="391" t="str">
        <f t="shared" si="143"/>
        <v/>
      </c>
    </row>
    <row r="1807" spans="8:11">
      <c r="H1807" s="391" t="str">
        <f t="shared" si="140"/>
        <v/>
      </c>
      <c r="I1807" s="391" t="str">
        <f t="shared" si="141"/>
        <v/>
      </c>
      <c r="J1807" s="391" t="str">
        <f t="shared" si="142"/>
        <v/>
      </c>
      <c r="K1807" s="391" t="str">
        <f t="shared" si="143"/>
        <v/>
      </c>
    </row>
    <row r="1808" spans="8:11">
      <c r="H1808" s="391" t="str">
        <f t="shared" si="140"/>
        <v/>
      </c>
      <c r="I1808" s="391" t="str">
        <f t="shared" si="141"/>
        <v/>
      </c>
      <c r="J1808" s="391" t="str">
        <f t="shared" si="142"/>
        <v/>
      </c>
      <c r="K1808" s="391" t="str">
        <f t="shared" si="143"/>
        <v/>
      </c>
    </row>
    <row r="1809" spans="8:11">
      <c r="H1809" s="391" t="str">
        <f t="shared" si="140"/>
        <v/>
      </c>
      <c r="I1809" s="391" t="str">
        <f t="shared" si="141"/>
        <v/>
      </c>
      <c r="J1809" s="391" t="str">
        <f t="shared" si="142"/>
        <v/>
      </c>
      <c r="K1809" s="391" t="str">
        <f t="shared" si="143"/>
        <v/>
      </c>
    </row>
    <row r="1810" spans="8:11">
      <c r="H1810" s="391" t="str">
        <f t="shared" si="140"/>
        <v/>
      </c>
      <c r="I1810" s="391" t="str">
        <f t="shared" si="141"/>
        <v/>
      </c>
      <c r="J1810" s="391" t="str">
        <f t="shared" si="142"/>
        <v/>
      </c>
      <c r="K1810" s="391" t="str">
        <f t="shared" si="143"/>
        <v/>
      </c>
    </row>
    <row r="1811" spans="8:11">
      <c r="H1811" s="391" t="str">
        <f t="shared" si="140"/>
        <v/>
      </c>
      <c r="I1811" s="391" t="str">
        <f t="shared" si="141"/>
        <v/>
      </c>
      <c r="J1811" s="391" t="str">
        <f t="shared" si="142"/>
        <v/>
      </c>
      <c r="K1811" s="391" t="str">
        <f t="shared" si="143"/>
        <v/>
      </c>
    </row>
    <row r="1812" spans="8:11">
      <c r="H1812" s="391" t="str">
        <f t="shared" si="140"/>
        <v/>
      </c>
      <c r="I1812" s="391" t="str">
        <f t="shared" si="141"/>
        <v/>
      </c>
      <c r="J1812" s="391" t="str">
        <f t="shared" si="142"/>
        <v/>
      </c>
      <c r="K1812" s="391" t="str">
        <f t="shared" si="143"/>
        <v/>
      </c>
    </row>
    <row r="1813" spans="8:11">
      <c r="H1813" s="391" t="str">
        <f t="shared" si="140"/>
        <v/>
      </c>
      <c r="I1813" s="391" t="str">
        <f t="shared" si="141"/>
        <v/>
      </c>
      <c r="J1813" s="391" t="str">
        <f t="shared" si="142"/>
        <v/>
      </c>
      <c r="K1813" s="391" t="str">
        <f t="shared" si="143"/>
        <v/>
      </c>
    </row>
    <row r="1814" spans="8:11">
      <c r="H1814" s="391" t="str">
        <f t="shared" si="140"/>
        <v/>
      </c>
      <c r="I1814" s="391" t="str">
        <f t="shared" si="141"/>
        <v/>
      </c>
      <c r="J1814" s="391" t="str">
        <f t="shared" si="142"/>
        <v/>
      </c>
      <c r="K1814" s="391" t="str">
        <f t="shared" si="143"/>
        <v/>
      </c>
    </row>
    <row r="1815" spans="8:11">
      <c r="H1815" s="391" t="str">
        <f t="shared" si="140"/>
        <v/>
      </c>
      <c r="I1815" s="391" t="str">
        <f t="shared" si="141"/>
        <v/>
      </c>
      <c r="J1815" s="391" t="str">
        <f t="shared" si="142"/>
        <v/>
      </c>
      <c r="K1815" s="391" t="str">
        <f t="shared" si="143"/>
        <v/>
      </c>
    </row>
    <row r="1816" spans="8:11">
      <c r="H1816" s="391" t="str">
        <f t="shared" si="140"/>
        <v/>
      </c>
      <c r="I1816" s="391" t="str">
        <f t="shared" si="141"/>
        <v/>
      </c>
      <c r="J1816" s="391" t="str">
        <f t="shared" si="142"/>
        <v/>
      </c>
      <c r="K1816" s="391" t="str">
        <f t="shared" si="143"/>
        <v/>
      </c>
    </row>
    <row r="1817" spans="8:11">
      <c r="H1817" s="391" t="str">
        <f t="shared" si="140"/>
        <v/>
      </c>
      <c r="I1817" s="391" t="str">
        <f t="shared" si="141"/>
        <v/>
      </c>
      <c r="J1817" s="391" t="str">
        <f t="shared" si="142"/>
        <v/>
      </c>
      <c r="K1817" s="391" t="str">
        <f t="shared" si="143"/>
        <v/>
      </c>
    </row>
    <row r="1818" spans="8:11">
      <c r="H1818" s="391" t="str">
        <f t="shared" si="140"/>
        <v/>
      </c>
      <c r="I1818" s="391" t="str">
        <f t="shared" si="141"/>
        <v/>
      </c>
      <c r="J1818" s="391" t="str">
        <f t="shared" si="142"/>
        <v/>
      </c>
      <c r="K1818" s="391" t="str">
        <f t="shared" si="143"/>
        <v/>
      </c>
    </row>
    <row r="1819" spans="8:11">
      <c r="H1819" s="391" t="str">
        <f t="shared" si="140"/>
        <v/>
      </c>
      <c r="I1819" s="391" t="str">
        <f t="shared" si="141"/>
        <v/>
      </c>
      <c r="J1819" s="391" t="str">
        <f t="shared" si="142"/>
        <v/>
      </c>
      <c r="K1819" s="391" t="str">
        <f t="shared" si="143"/>
        <v/>
      </c>
    </row>
    <row r="1820" spans="8:11">
      <c r="H1820" s="391" t="str">
        <f t="shared" si="140"/>
        <v/>
      </c>
      <c r="I1820" s="391" t="str">
        <f t="shared" si="141"/>
        <v/>
      </c>
      <c r="J1820" s="391" t="str">
        <f t="shared" si="142"/>
        <v/>
      </c>
      <c r="K1820" s="391" t="str">
        <f t="shared" si="143"/>
        <v/>
      </c>
    </row>
    <row r="1821" spans="8:11">
      <c r="H1821" s="391" t="str">
        <f t="shared" si="140"/>
        <v/>
      </c>
      <c r="I1821" s="391" t="str">
        <f t="shared" si="141"/>
        <v/>
      </c>
      <c r="J1821" s="391" t="str">
        <f t="shared" si="142"/>
        <v/>
      </c>
      <c r="K1821" s="391" t="str">
        <f t="shared" si="143"/>
        <v/>
      </c>
    </row>
    <row r="1822" spans="8:11">
      <c r="H1822" s="391" t="str">
        <f t="shared" si="140"/>
        <v/>
      </c>
      <c r="I1822" s="391" t="str">
        <f t="shared" si="141"/>
        <v/>
      </c>
      <c r="J1822" s="391" t="str">
        <f t="shared" si="142"/>
        <v/>
      </c>
      <c r="K1822" s="391" t="str">
        <f t="shared" si="143"/>
        <v/>
      </c>
    </row>
    <row r="1823" spans="8:11">
      <c r="H1823" s="391" t="str">
        <f t="shared" si="140"/>
        <v/>
      </c>
      <c r="I1823" s="391" t="str">
        <f t="shared" si="141"/>
        <v/>
      </c>
      <c r="J1823" s="391" t="str">
        <f t="shared" si="142"/>
        <v/>
      </c>
      <c r="K1823" s="391" t="str">
        <f t="shared" si="143"/>
        <v/>
      </c>
    </row>
    <row r="1824" spans="8:11">
      <c r="H1824" s="391" t="str">
        <f t="shared" si="140"/>
        <v/>
      </c>
      <c r="I1824" s="391" t="str">
        <f t="shared" si="141"/>
        <v/>
      </c>
      <c r="J1824" s="391" t="str">
        <f t="shared" si="142"/>
        <v/>
      </c>
      <c r="K1824" s="391" t="str">
        <f t="shared" si="143"/>
        <v/>
      </c>
    </row>
    <row r="1825" spans="8:11">
      <c r="H1825" s="391" t="str">
        <f t="shared" si="140"/>
        <v/>
      </c>
      <c r="I1825" s="391" t="str">
        <f t="shared" si="141"/>
        <v/>
      </c>
      <c r="J1825" s="391" t="str">
        <f t="shared" si="142"/>
        <v/>
      </c>
      <c r="K1825" s="391" t="str">
        <f t="shared" si="143"/>
        <v/>
      </c>
    </row>
    <row r="1826" spans="8:11">
      <c r="H1826" s="391" t="str">
        <f t="shared" si="140"/>
        <v/>
      </c>
      <c r="I1826" s="391" t="str">
        <f t="shared" si="141"/>
        <v/>
      </c>
      <c r="J1826" s="391" t="str">
        <f t="shared" si="142"/>
        <v/>
      </c>
      <c r="K1826" s="391" t="str">
        <f t="shared" si="143"/>
        <v/>
      </c>
    </row>
    <row r="1827" spans="8:11">
      <c r="H1827" s="391" t="str">
        <f t="shared" si="140"/>
        <v/>
      </c>
      <c r="I1827" s="391" t="str">
        <f t="shared" si="141"/>
        <v/>
      </c>
      <c r="J1827" s="391" t="str">
        <f t="shared" si="142"/>
        <v/>
      </c>
      <c r="K1827" s="391" t="str">
        <f t="shared" si="143"/>
        <v/>
      </c>
    </row>
    <row r="1828" spans="8:11">
      <c r="H1828" s="391" t="str">
        <f t="shared" si="140"/>
        <v/>
      </c>
      <c r="I1828" s="391" t="str">
        <f t="shared" si="141"/>
        <v/>
      </c>
      <c r="J1828" s="391" t="str">
        <f t="shared" si="142"/>
        <v/>
      </c>
      <c r="K1828" s="391" t="str">
        <f t="shared" si="143"/>
        <v/>
      </c>
    </row>
    <row r="1829" spans="8:11">
      <c r="H1829" s="391" t="str">
        <f t="shared" si="140"/>
        <v/>
      </c>
      <c r="I1829" s="391" t="str">
        <f t="shared" si="141"/>
        <v/>
      </c>
      <c r="J1829" s="391" t="str">
        <f t="shared" si="142"/>
        <v/>
      </c>
      <c r="K1829" s="391" t="str">
        <f t="shared" si="143"/>
        <v/>
      </c>
    </row>
    <row r="1830" spans="8:11">
      <c r="H1830" s="391" t="str">
        <f t="shared" si="140"/>
        <v/>
      </c>
      <c r="I1830" s="391" t="str">
        <f t="shared" si="141"/>
        <v/>
      </c>
      <c r="J1830" s="391" t="str">
        <f t="shared" si="142"/>
        <v/>
      </c>
      <c r="K1830" s="391" t="str">
        <f t="shared" si="143"/>
        <v/>
      </c>
    </row>
    <row r="1831" spans="8:11">
      <c r="H1831" s="391" t="str">
        <f t="shared" si="140"/>
        <v/>
      </c>
      <c r="I1831" s="391" t="str">
        <f t="shared" si="141"/>
        <v/>
      </c>
      <c r="J1831" s="391" t="str">
        <f t="shared" si="142"/>
        <v/>
      </c>
      <c r="K1831" s="391" t="str">
        <f t="shared" si="143"/>
        <v/>
      </c>
    </row>
    <row r="1832" spans="8:11">
      <c r="H1832" s="391" t="str">
        <f t="shared" si="140"/>
        <v/>
      </c>
      <c r="I1832" s="391" t="str">
        <f t="shared" si="141"/>
        <v/>
      </c>
      <c r="J1832" s="391" t="str">
        <f t="shared" si="142"/>
        <v/>
      </c>
      <c r="K1832" s="391" t="str">
        <f t="shared" si="143"/>
        <v/>
      </c>
    </row>
    <row r="1833" spans="8:11">
      <c r="H1833" s="391" t="str">
        <f t="shared" ref="H1833:H1896" si="144">IF($C855="","",ROUND(($B$2*$F855*($B$5/1000))/$B$6,2))</f>
        <v/>
      </c>
      <c r="I1833" s="391" t="str">
        <f t="shared" ref="I1833:I1896" si="145">IF($C855="","",ROUND(($B$3*$F855*($B$5/1000))/$B$6,2))</f>
        <v/>
      </c>
      <c r="J1833" s="391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1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>
      <c r="H1834" s="391" t="str">
        <f t="shared" si="144"/>
        <v/>
      </c>
      <c r="I1834" s="391" t="str">
        <f t="shared" si="145"/>
        <v/>
      </c>
      <c r="J1834" s="391" t="str">
        <f t="shared" si="146"/>
        <v/>
      </c>
      <c r="K1834" s="391" t="str">
        <f t="shared" si="147"/>
        <v/>
      </c>
    </row>
    <row r="1835" spans="8:11">
      <c r="H1835" s="391" t="str">
        <f t="shared" si="144"/>
        <v/>
      </c>
      <c r="I1835" s="391" t="str">
        <f t="shared" si="145"/>
        <v/>
      </c>
      <c r="J1835" s="391" t="str">
        <f t="shared" si="146"/>
        <v/>
      </c>
      <c r="K1835" s="391" t="str">
        <f t="shared" si="147"/>
        <v/>
      </c>
    </row>
    <row r="1836" spans="8:11">
      <c r="H1836" s="391" t="str">
        <f t="shared" si="144"/>
        <v/>
      </c>
      <c r="I1836" s="391" t="str">
        <f t="shared" si="145"/>
        <v/>
      </c>
      <c r="J1836" s="391" t="str">
        <f t="shared" si="146"/>
        <v/>
      </c>
      <c r="K1836" s="391" t="str">
        <f t="shared" si="147"/>
        <v/>
      </c>
    </row>
    <row r="1837" spans="8:11">
      <c r="H1837" s="391" t="str">
        <f t="shared" si="144"/>
        <v/>
      </c>
      <c r="I1837" s="391" t="str">
        <f t="shared" si="145"/>
        <v/>
      </c>
      <c r="J1837" s="391" t="str">
        <f t="shared" si="146"/>
        <v/>
      </c>
      <c r="K1837" s="391" t="str">
        <f t="shared" si="147"/>
        <v/>
      </c>
    </row>
    <row r="1838" spans="8:11">
      <c r="H1838" s="391" t="str">
        <f t="shared" si="144"/>
        <v/>
      </c>
      <c r="I1838" s="391" t="str">
        <f t="shared" si="145"/>
        <v/>
      </c>
      <c r="J1838" s="391" t="str">
        <f t="shared" si="146"/>
        <v/>
      </c>
      <c r="K1838" s="391" t="str">
        <f t="shared" si="147"/>
        <v/>
      </c>
    </row>
    <row r="1839" spans="8:11">
      <c r="H1839" s="391" t="str">
        <f t="shared" si="144"/>
        <v/>
      </c>
      <c r="I1839" s="391" t="str">
        <f t="shared" si="145"/>
        <v/>
      </c>
      <c r="J1839" s="391" t="str">
        <f t="shared" si="146"/>
        <v/>
      </c>
      <c r="K1839" s="391" t="str">
        <f t="shared" si="147"/>
        <v/>
      </c>
    </row>
    <row r="1840" spans="8:11">
      <c r="H1840" s="391" t="str">
        <f t="shared" si="144"/>
        <v/>
      </c>
      <c r="I1840" s="391" t="str">
        <f t="shared" si="145"/>
        <v/>
      </c>
      <c r="J1840" s="391" t="str">
        <f t="shared" si="146"/>
        <v/>
      </c>
      <c r="K1840" s="391" t="str">
        <f t="shared" si="147"/>
        <v/>
      </c>
    </row>
    <row r="1841" spans="8:11">
      <c r="H1841" s="391" t="str">
        <f t="shared" si="144"/>
        <v/>
      </c>
      <c r="I1841" s="391" t="str">
        <f t="shared" si="145"/>
        <v/>
      </c>
      <c r="J1841" s="391" t="str">
        <f t="shared" si="146"/>
        <v/>
      </c>
      <c r="K1841" s="391" t="str">
        <f t="shared" si="147"/>
        <v/>
      </c>
    </row>
    <row r="1842" spans="8:11">
      <c r="H1842" s="391" t="str">
        <f t="shared" si="144"/>
        <v/>
      </c>
      <c r="I1842" s="391" t="str">
        <f t="shared" si="145"/>
        <v/>
      </c>
      <c r="J1842" s="391" t="str">
        <f t="shared" si="146"/>
        <v/>
      </c>
      <c r="K1842" s="391" t="str">
        <f t="shared" si="147"/>
        <v/>
      </c>
    </row>
    <row r="1843" spans="8:11">
      <c r="H1843" s="391" t="str">
        <f t="shared" si="144"/>
        <v/>
      </c>
      <c r="I1843" s="391" t="str">
        <f t="shared" si="145"/>
        <v/>
      </c>
      <c r="J1843" s="391" t="str">
        <f t="shared" si="146"/>
        <v/>
      </c>
      <c r="K1843" s="391" t="str">
        <f t="shared" si="147"/>
        <v/>
      </c>
    </row>
    <row r="1844" spans="8:11">
      <c r="H1844" s="391" t="str">
        <f t="shared" si="144"/>
        <v/>
      </c>
      <c r="I1844" s="391" t="str">
        <f t="shared" si="145"/>
        <v/>
      </c>
      <c r="J1844" s="391" t="str">
        <f t="shared" si="146"/>
        <v/>
      </c>
      <c r="K1844" s="391" t="str">
        <f t="shared" si="147"/>
        <v/>
      </c>
    </row>
    <row r="1845" spans="8:11">
      <c r="H1845" s="391" t="str">
        <f t="shared" si="144"/>
        <v/>
      </c>
      <c r="I1845" s="391" t="str">
        <f t="shared" si="145"/>
        <v/>
      </c>
      <c r="J1845" s="391" t="str">
        <f t="shared" si="146"/>
        <v/>
      </c>
      <c r="K1845" s="391" t="str">
        <f t="shared" si="147"/>
        <v/>
      </c>
    </row>
    <row r="1846" spans="8:11">
      <c r="H1846" s="391" t="str">
        <f t="shared" si="144"/>
        <v/>
      </c>
      <c r="I1846" s="391" t="str">
        <f t="shared" si="145"/>
        <v/>
      </c>
      <c r="J1846" s="391" t="str">
        <f t="shared" si="146"/>
        <v/>
      </c>
      <c r="K1846" s="391" t="str">
        <f t="shared" si="147"/>
        <v/>
      </c>
    </row>
    <row r="1847" spans="8:11">
      <c r="H1847" s="391" t="str">
        <f t="shared" si="144"/>
        <v/>
      </c>
      <c r="I1847" s="391" t="str">
        <f t="shared" si="145"/>
        <v/>
      </c>
      <c r="J1847" s="391" t="str">
        <f t="shared" si="146"/>
        <v/>
      </c>
      <c r="K1847" s="391" t="str">
        <f t="shared" si="147"/>
        <v/>
      </c>
    </row>
    <row r="1848" spans="8:11">
      <c r="H1848" s="391" t="str">
        <f t="shared" si="144"/>
        <v/>
      </c>
      <c r="I1848" s="391" t="str">
        <f t="shared" si="145"/>
        <v/>
      </c>
      <c r="J1848" s="391" t="str">
        <f t="shared" si="146"/>
        <v/>
      </c>
      <c r="K1848" s="391" t="str">
        <f t="shared" si="147"/>
        <v/>
      </c>
    </row>
    <row r="1849" spans="8:11">
      <c r="H1849" s="391" t="str">
        <f t="shared" si="144"/>
        <v/>
      </c>
      <c r="I1849" s="391" t="str">
        <f t="shared" si="145"/>
        <v/>
      </c>
      <c r="J1849" s="391" t="str">
        <f t="shared" si="146"/>
        <v/>
      </c>
      <c r="K1849" s="391" t="str">
        <f t="shared" si="147"/>
        <v/>
      </c>
    </row>
    <row r="1850" spans="8:11">
      <c r="H1850" s="391" t="str">
        <f t="shared" si="144"/>
        <v/>
      </c>
      <c r="I1850" s="391" t="str">
        <f t="shared" si="145"/>
        <v/>
      </c>
      <c r="J1850" s="391" t="str">
        <f t="shared" si="146"/>
        <v/>
      </c>
      <c r="K1850" s="391" t="str">
        <f t="shared" si="147"/>
        <v/>
      </c>
    </row>
    <row r="1851" spans="8:11">
      <c r="H1851" s="391" t="str">
        <f t="shared" si="144"/>
        <v/>
      </c>
      <c r="I1851" s="391" t="str">
        <f t="shared" si="145"/>
        <v/>
      </c>
      <c r="J1851" s="391" t="str">
        <f t="shared" si="146"/>
        <v/>
      </c>
      <c r="K1851" s="391" t="str">
        <f t="shared" si="147"/>
        <v/>
      </c>
    </row>
    <row r="1852" spans="8:11">
      <c r="H1852" s="391" t="str">
        <f t="shared" si="144"/>
        <v/>
      </c>
      <c r="I1852" s="391" t="str">
        <f t="shared" si="145"/>
        <v/>
      </c>
      <c r="J1852" s="391" t="str">
        <f t="shared" si="146"/>
        <v/>
      </c>
      <c r="K1852" s="391" t="str">
        <f t="shared" si="147"/>
        <v/>
      </c>
    </row>
    <row r="1853" spans="8:11">
      <c r="H1853" s="391" t="str">
        <f t="shared" si="144"/>
        <v/>
      </c>
      <c r="I1853" s="391" t="str">
        <f t="shared" si="145"/>
        <v/>
      </c>
      <c r="J1853" s="391" t="str">
        <f t="shared" si="146"/>
        <v/>
      </c>
      <c r="K1853" s="391" t="str">
        <f t="shared" si="147"/>
        <v/>
      </c>
    </row>
    <row r="1854" spans="8:11">
      <c r="H1854" s="391" t="str">
        <f t="shared" si="144"/>
        <v/>
      </c>
      <c r="I1854" s="391" t="str">
        <f t="shared" si="145"/>
        <v/>
      </c>
      <c r="J1854" s="391" t="str">
        <f t="shared" si="146"/>
        <v/>
      </c>
      <c r="K1854" s="391" t="str">
        <f t="shared" si="147"/>
        <v/>
      </c>
    </row>
    <row r="1855" spans="8:11">
      <c r="H1855" s="391" t="str">
        <f t="shared" si="144"/>
        <v/>
      </c>
      <c r="I1855" s="391" t="str">
        <f t="shared" si="145"/>
        <v/>
      </c>
      <c r="J1855" s="391" t="str">
        <f t="shared" si="146"/>
        <v/>
      </c>
      <c r="K1855" s="391" t="str">
        <f t="shared" si="147"/>
        <v/>
      </c>
    </row>
    <row r="1856" spans="8:11">
      <c r="H1856" s="391" t="str">
        <f t="shared" si="144"/>
        <v/>
      </c>
      <c r="I1856" s="391" t="str">
        <f t="shared" si="145"/>
        <v/>
      </c>
      <c r="J1856" s="391" t="str">
        <f t="shared" si="146"/>
        <v/>
      </c>
      <c r="K1856" s="391" t="str">
        <f t="shared" si="147"/>
        <v/>
      </c>
    </row>
    <row r="1857" spans="8:11">
      <c r="H1857" s="391" t="str">
        <f t="shared" si="144"/>
        <v/>
      </c>
      <c r="I1857" s="391" t="str">
        <f t="shared" si="145"/>
        <v/>
      </c>
      <c r="J1857" s="391" t="str">
        <f t="shared" si="146"/>
        <v/>
      </c>
      <c r="K1857" s="391" t="str">
        <f t="shared" si="147"/>
        <v/>
      </c>
    </row>
    <row r="1858" spans="8:11">
      <c r="H1858" s="391" t="str">
        <f t="shared" si="144"/>
        <v/>
      </c>
      <c r="I1858" s="391" t="str">
        <f t="shared" si="145"/>
        <v/>
      </c>
      <c r="J1858" s="391" t="str">
        <f t="shared" si="146"/>
        <v/>
      </c>
      <c r="K1858" s="391" t="str">
        <f t="shared" si="147"/>
        <v/>
      </c>
    </row>
    <row r="1859" spans="8:11">
      <c r="H1859" s="391" t="str">
        <f t="shared" si="144"/>
        <v/>
      </c>
      <c r="I1859" s="391" t="str">
        <f t="shared" si="145"/>
        <v/>
      </c>
      <c r="J1859" s="391" t="str">
        <f t="shared" si="146"/>
        <v/>
      </c>
      <c r="K1859" s="391" t="str">
        <f t="shared" si="147"/>
        <v/>
      </c>
    </row>
    <row r="1860" spans="8:11">
      <c r="H1860" s="391" t="str">
        <f t="shared" si="144"/>
        <v/>
      </c>
      <c r="I1860" s="391" t="str">
        <f t="shared" si="145"/>
        <v/>
      </c>
      <c r="J1860" s="391" t="str">
        <f t="shared" si="146"/>
        <v/>
      </c>
      <c r="K1860" s="391" t="str">
        <f t="shared" si="147"/>
        <v/>
      </c>
    </row>
    <row r="1861" spans="8:11">
      <c r="H1861" s="391" t="str">
        <f t="shared" si="144"/>
        <v/>
      </c>
      <c r="I1861" s="391" t="str">
        <f t="shared" si="145"/>
        <v/>
      </c>
      <c r="J1861" s="391" t="str">
        <f t="shared" si="146"/>
        <v/>
      </c>
      <c r="K1861" s="391" t="str">
        <f t="shared" si="147"/>
        <v/>
      </c>
    </row>
    <row r="1862" spans="8:11">
      <c r="H1862" s="391" t="str">
        <f t="shared" si="144"/>
        <v/>
      </c>
      <c r="I1862" s="391" t="str">
        <f t="shared" si="145"/>
        <v/>
      </c>
      <c r="J1862" s="391" t="str">
        <f t="shared" si="146"/>
        <v/>
      </c>
      <c r="K1862" s="391" t="str">
        <f t="shared" si="147"/>
        <v/>
      </c>
    </row>
    <row r="1863" spans="8:11">
      <c r="H1863" s="391" t="str">
        <f t="shared" si="144"/>
        <v/>
      </c>
      <c r="I1863" s="391" t="str">
        <f t="shared" si="145"/>
        <v/>
      </c>
      <c r="J1863" s="391" t="str">
        <f t="shared" si="146"/>
        <v/>
      </c>
      <c r="K1863" s="391" t="str">
        <f t="shared" si="147"/>
        <v/>
      </c>
    </row>
    <row r="1864" spans="8:11">
      <c r="H1864" s="391" t="str">
        <f t="shared" si="144"/>
        <v/>
      </c>
      <c r="I1864" s="391" t="str">
        <f t="shared" si="145"/>
        <v/>
      </c>
      <c r="J1864" s="391" t="str">
        <f t="shared" si="146"/>
        <v/>
      </c>
      <c r="K1864" s="391" t="str">
        <f t="shared" si="147"/>
        <v/>
      </c>
    </row>
    <row r="1865" spans="8:11">
      <c r="H1865" s="391" t="str">
        <f t="shared" si="144"/>
        <v/>
      </c>
      <c r="I1865" s="391" t="str">
        <f t="shared" si="145"/>
        <v/>
      </c>
      <c r="J1865" s="391" t="str">
        <f t="shared" si="146"/>
        <v/>
      </c>
      <c r="K1865" s="391" t="str">
        <f t="shared" si="147"/>
        <v/>
      </c>
    </row>
    <row r="1866" spans="8:11">
      <c r="H1866" s="391" t="str">
        <f t="shared" si="144"/>
        <v/>
      </c>
      <c r="I1866" s="391" t="str">
        <f t="shared" si="145"/>
        <v/>
      </c>
      <c r="J1866" s="391" t="str">
        <f t="shared" si="146"/>
        <v/>
      </c>
      <c r="K1866" s="391" t="str">
        <f t="shared" si="147"/>
        <v/>
      </c>
    </row>
    <row r="1867" spans="8:11">
      <c r="H1867" s="391" t="str">
        <f t="shared" si="144"/>
        <v/>
      </c>
      <c r="I1867" s="391" t="str">
        <f t="shared" si="145"/>
        <v/>
      </c>
      <c r="J1867" s="391" t="str">
        <f t="shared" si="146"/>
        <v/>
      </c>
      <c r="K1867" s="391" t="str">
        <f t="shared" si="147"/>
        <v/>
      </c>
    </row>
    <row r="1868" spans="8:11">
      <c r="H1868" s="391" t="str">
        <f t="shared" si="144"/>
        <v/>
      </c>
      <c r="I1868" s="391" t="str">
        <f t="shared" si="145"/>
        <v/>
      </c>
      <c r="J1868" s="391" t="str">
        <f t="shared" si="146"/>
        <v/>
      </c>
      <c r="K1868" s="391" t="str">
        <f t="shared" si="147"/>
        <v/>
      </c>
    </row>
    <row r="1869" spans="8:11">
      <c r="H1869" s="391" t="str">
        <f t="shared" si="144"/>
        <v/>
      </c>
      <c r="I1869" s="391" t="str">
        <f t="shared" si="145"/>
        <v/>
      </c>
      <c r="J1869" s="391" t="str">
        <f t="shared" si="146"/>
        <v/>
      </c>
      <c r="K1869" s="391" t="str">
        <f t="shared" si="147"/>
        <v/>
      </c>
    </row>
    <row r="1870" spans="8:11">
      <c r="H1870" s="391" t="str">
        <f t="shared" si="144"/>
        <v/>
      </c>
      <c r="I1870" s="391" t="str">
        <f t="shared" si="145"/>
        <v/>
      </c>
      <c r="J1870" s="391" t="str">
        <f t="shared" si="146"/>
        <v/>
      </c>
      <c r="K1870" s="391" t="str">
        <f t="shared" si="147"/>
        <v/>
      </c>
    </row>
    <row r="1871" spans="8:11">
      <c r="H1871" s="391" t="str">
        <f t="shared" si="144"/>
        <v/>
      </c>
      <c r="I1871" s="391" t="str">
        <f t="shared" si="145"/>
        <v/>
      </c>
      <c r="J1871" s="391" t="str">
        <f t="shared" si="146"/>
        <v/>
      </c>
      <c r="K1871" s="391" t="str">
        <f t="shared" si="147"/>
        <v/>
      </c>
    </row>
    <row r="1872" spans="8:11">
      <c r="H1872" s="391" t="str">
        <f t="shared" si="144"/>
        <v/>
      </c>
      <c r="I1872" s="391" t="str">
        <f t="shared" si="145"/>
        <v/>
      </c>
      <c r="J1872" s="391" t="str">
        <f t="shared" si="146"/>
        <v/>
      </c>
      <c r="K1872" s="391" t="str">
        <f t="shared" si="147"/>
        <v/>
      </c>
    </row>
    <row r="1873" spans="8:11">
      <c r="H1873" s="391" t="str">
        <f t="shared" si="144"/>
        <v/>
      </c>
      <c r="I1873" s="391" t="str">
        <f t="shared" si="145"/>
        <v/>
      </c>
      <c r="J1873" s="391" t="str">
        <f t="shared" si="146"/>
        <v/>
      </c>
      <c r="K1873" s="391" t="str">
        <f t="shared" si="147"/>
        <v/>
      </c>
    </row>
    <row r="1874" spans="8:11">
      <c r="H1874" s="391" t="str">
        <f t="shared" si="144"/>
        <v/>
      </c>
      <c r="I1874" s="391" t="str">
        <f t="shared" si="145"/>
        <v/>
      </c>
      <c r="J1874" s="391" t="str">
        <f t="shared" si="146"/>
        <v/>
      </c>
      <c r="K1874" s="391" t="str">
        <f t="shared" si="147"/>
        <v/>
      </c>
    </row>
    <row r="1875" spans="8:11">
      <c r="H1875" s="391" t="str">
        <f t="shared" si="144"/>
        <v/>
      </c>
      <c r="I1875" s="391" t="str">
        <f t="shared" si="145"/>
        <v/>
      </c>
      <c r="J1875" s="391" t="str">
        <f t="shared" si="146"/>
        <v/>
      </c>
      <c r="K1875" s="391" t="str">
        <f t="shared" si="147"/>
        <v/>
      </c>
    </row>
    <row r="1876" spans="8:11">
      <c r="H1876" s="391" t="str">
        <f t="shared" si="144"/>
        <v/>
      </c>
      <c r="I1876" s="391" t="str">
        <f t="shared" si="145"/>
        <v/>
      </c>
      <c r="J1876" s="391" t="str">
        <f t="shared" si="146"/>
        <v/>
      </c>
      <c r="K1876" s="391" t="str">
        <f t="shared" si="147"/>
        <v/>
      </c>
    </row>
    <row r="1877" spans="8:11">
      <c r="H1877" s="391" t="str">
        <f t="shared" si="144"/>
        <v/>
      </c>
      <c r="I1877" s="391" t="str">
        <f t="shared" si="145"/>
        <v/>
      </c>
      <c r="J1877" s="391" t="str">
        <f t="shared" si="146"/>
        <v/>
      </c>
      <c r="K1877" s="391" t="str">
        <f t="shared" si="147"/>
        <v/>
      </c>
    </row>
    <row r="1878" spans="8:11">
      <c r="H1878" s="391" t="str">
        <f t="shared" si="144"/>
        <v/>
      </c>
      <c r="I1878" s="391" t="str">
        <f t="shared" si="145"/>
        <v/>
      </c>
      <c r="J1878" s="391" t="str">
        <f t="shared" si="146"/>
        <v/>
      </c>
      <c r="K1878" s="391" t="str">
        <f t="shared" si="147"/>
        <v/>
      </c>
    </row>
    <row r="1879" spans="8:11">
      <c r="H1879" s="391" t="str">
        <f t="shared" si="144"/>
        <v/>
      </c>
      <c r="I1879" s="391" t="str">
        <f t="shared" si="145"/>
        <v/>
      </c>
      <c r="J1879" s="391" t="str">
        <f t="shared" si="146"/>
        <v/>
      </c>
      <c r="K1879" s="391" t="str">
        <f t="shared" si="147"/>
        <v/>
      </c>
    </row>
    <row r="1880" spans="8:11">
      <c r="H1880" s="391" t="str">
        <f t="shared" si="144"/>
        <v/>
      </c>
      <c r="I1880" s="391" t="str">
        <f t="shared" si="145"/>
        <v/>
      </c>
      <c r="J1880" s="391" t="str">
        <f t="shared" si="146"/>
        <v/>
      </c>
      <c r="K1880" s="391" t="str">
        <f t="shared" si="147"/>
        <v/>
      </c>
    </row>
    <row r="1881" spans="8:11">
      <c r="H1881" s="391" t="str">
        <f t="shared" si="144"/>
        <v/>
      </c>
      <c r="I1881" s="391" t="str">
        <f t="shared" si="145"/>
        <v/>
      </c>
      <c r="J1881" s="391" t="str">
        <f t="shared" si="146"/>
        <v/>
      </c>
      <c r="K1881" s="391" t="str">
        <f t="shared" si="147"/>
        <v/>
      </c>
    </row>
    <row r="1882" spans="8:11">
      <c r="H1882" s="391" t="str">
        <f t="shared" si="144"/>
        <v/>
      </c>
      <c r="I1882" s="391" t="str">
        <f t="shared" si="145"/>
        <v/>
      </c>
      <c r="J1882" s="391" t="str">
        <f t="shared" si="146"/>
        <v/>
      </c>
      <c r="K1882" s="391" t="str">
        <f t="shared" si="147"/>
        <v/>
      </c>
    </row>
    <row r="1883" spans="8:11">
      <c r="H1883" s="391" t="str">
        <f t="shared" si="144"/>
        <v/>
      </c>
      <c r="I1883" s="391" t="str">
        <f t="shared" si="145"/>
        <v/>
      </c>
      <c r="J1883" s="391" t="str">
        <f t="shared" si="146"/>
        <v/>
      </c>
      <c r="K1883" s="391" t="str">
        <f t="shared" si="147"/>
        <v/>
      </c>
    </row>
    <row r="1884" spans="8:11">
      <c r="H1884" s="391" t="str">
        <f t="shared" si="144"/>
        <v/>
      </c>
      <c r="I1884" s="391" t="str">
        <f t="shared" si="145"/>
        <v/>
      </c>
      <c r="J1884" s="391" t="str">
        <f t="shared" si="146"/>
        <v/>
      </c>
      <c r="K1884" s="391" t="str">
        <f t="shared" si="147"/>
        <v/>
      </c>
    </row>
    <row r="1885" spans="8:11">
      <c r="H1885" s="391" t="str">
        <f t="shared" si="144"/>
        <v/>
      </c>
      <c r="I1885" s="391" t="str">
        <f t="shared" si="145"/>
        <v/>
      </c>
      <c r="J1885" s="391" t="str">
        <f t="shared" si="146"/>
        <v/>
      </c>
      <c r="K1885" s="391" t="str">
        <f t="shared" si="147"/>
        <v/>
      </c>
    </row>
    <row r="1886" spans="8:11">
      <c r="H1886" s="391" t="str">
        <f t="shared" si="144"/>
        <v/>
      </c>
      <c r="I1886" s="391" t="str">
        <f t="shared" si="145"/>
        <v/>
      </c>
      <c r="J1886" s="391" t="str">
        <f t="shared" si="146"/>
        <v/>
      </c>
      <c r="K1886" s="391" t="str">
        <f t="shared" si="147"/>
        <v/>
      </c>
    </row>
    <row r="1887" spans="8:11">
      <c r="H1887" s="391" t="str">
        <f t="shared" si="144"/>
        <v/>
      </c>
      <c r="I1887" s="391" t="str">
        <f t="shared" si="145"/>
        <v/>
      </c>
      <c r="J1887" s="391" t="str">
        <f t="shared" si="146"/>
        <v/>
      </c>
      <c r="K1887" s="391" t="str">
        <f t="shared" si="147"/>
        <v/>
      </c>
    </row>
    <row r="1888" spans="8:11">
      <c r="H1888" s="391" t="str">
        <f t="shared" si="144"/>
        <v/>
      </c>
      <c r="I1888" s="391" t="str">
        <f t="shared" si="145"/>
        <v/>
      </c>
      <c r="J1888" s="391" t="str">
        <f t="shared" si="146"/>
        <v/>
      </c>
      <c r="K1888" s="391" t="str">
        <f t="shared" si="147"/>
        <v/>
      </c>
    </row>
    <row r="1889" spans="8:11">
      <c r="H1889" s="391" t="str">
        <f t="shared" si="144"/>
        <v/>
      </c>
      <c r="I1889" s="391" t="str">
        <f t="shared" si="145"/>
        <v/>
      </c>
      <c r="J1889" s="391" t="str">
        <f t="shared" si="146"/>
        <v/>
      </c>
      <c r="K1889" s="391" t="str">
        <f t="shared" si="147"/>
        <v/>
      </c>
    </row>
    <row r="1890" spans="8:11">
      <c r="H1890" s="391" t="str">
        <f t="shared" si="144"/>
        <v/>
      </c>
      <c r="I1890" s="391" t="str">
        <f t="shared" si="145"/>
        <v/>
      </c>
      <c r="J1890" s="391" t="str">
        <f t="shared" si="146"/>
        <v/>
      </c>
      <c r="K1890" s="391" t="str">
        <f t="shared" si="147"/>
        <v/>
      </c>
    </row>
    <row r="1891" spans="8:11">
      <c r="H1891" s="391" t="str">
        <f t="shared" si="144"/>
        <v/>
      </c>
      <c r="I1891" s="391" t="str">
        <f t="shared" si="145"/>
        <v/>
      </c>
      <c r="J1891" s="391" t="str">
        <f t="shared" si="146"/>
        <v/>
      </c>
      <c r="K1891" s="391" t="str">
        <f t="shared" si="147"/>
        <v/>
      </c>
    </row>
    <row r="1892" spans="8:11">
      <c r="H1892" s="391" t="str">
        <f t="shared" si="144"/>
        <v/>
      </c>
      <c r="I1892" s="391" t="str">
        <f t="shared" si="145"/>
        <v/>
      </c>
      <c r="J1892" s="391" t="str">
        <f t="shared" si="146"/>
        <v/>
      </c>
      <c r="K1892" s="391" t="str">
        <f t="shared" si="147"/>
        <v/>
      </c>
    </row>
    <row r="1893" spans="8:11">
      <c r="H1893" s="391" t="str">
        <f t="shared" si="144"/>
        <v/>
      </c>
      <c r="I1893" s="391" t="str">
        <f t="shared" si="145"/>
        <v/>
      </c>
      <c r="J1893" s="391" t="str">
        <f t="shared" si="146"/>
        <v/>
      </c>
      <c r="K1893" s="391" t="str">
        <f t="shared" si="147"/>
        <v/>
      </c>
    </row>
    <row r="1894" spans="8:11">
      <c r="H1894" s="391" t="str">
        <f t="shared" si="144"/>
        <v/>
      </c>
      <c r="I1894" s="391" t="str">
        <f t="shared" si="145"/>
        <v/>
      </c>
      <c r="J1894" s="391" t="str">
        <f t="shared" si="146"/>
        <v/>
      </c>
      <c r="K1894" s="391" t="str">
        <f t="shared" si="147"/>
        <v/>
      </c>
    </row>
    <row r="1895" spans="8:11">
      <c r="H1895" s="391" t="str">
        <f t="shared" si="144"/>
        <v/>
      </c>
      <c r="I1895" s="391" t="str">
        <f t="shared" si="145"/>
        <v/>
      </c>
      <c r="J1895" s="391" t="str">
        <f t="shared" si="146"/>
        <v/>
      </c>
      <c r="K1895" s="391" t="str">
        <f t="shared" si="147"/>
        <v/>
      </c>
    </row>
    <row r="1896" spans="8:11">
      <c r="H1896" s="391" t="str">
        <f t="shared" si="144"/>
        <v/>
      </c>
      <c r="I1896" s="391" t="str">
        <f t="shared" si="145"/>
        <v/>
      </c>
      <c r="J1896" s="391" t="str">
        <f t="shared" si="146"/>
        <v/>
      </c>
      <c r="K1896" s="391" t="str">
        <f t="shared" si="147"/>
        <v/>
      </c>
    </row>
    <row r="1897" spans="8:11">
      <c r="H1897" s="391" t="str">
        <f t="shared" ref="H1897:H1960" si="148">IF($C919="","",ROUND(($B$2*$F919*($B$5/1000))/$B$6,2))</f>
        <v/>
      </c>
      <c r="I1897" s="391" t="str">
        <f t="shared" ref="I1897:I1960" si="149">IF($C919="","",ROUND(($B$3*$F919*($B$5/1000))/$B$6,2))</f>
        <v/>
      </c>
      <c r="J1897" s="391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1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>
      <c r="H1898" s="391" t="str">
        <f t="shared" si="148"/>
        <v/>
      </c>
      <c r="I1898" s="391" t="str">
        <f t="shared" si="149"/>
        <v/>
      </c>
      <c r="J1898" s="391" t="str">
        <f t="shared" si="150"/>
        <v/>
      </c>
      <c r="K1898" s="391" t="str">
        <f t="shared" si="151"/>
        <v/>
      </c>
    </row>
    <row r="1899" spans="8:11">
      <c r="H1899" s="391" t="str">
        <f t="shared" si="148"/>
        <v/>
      </c>
      <c r="I1899" s="391" t="str">
        <f t="shared" si="149"/>
        <v/>
      </c>
      <c r="J1899" s="391" t="str">
        <f t="shared" si="150"/>
        <v/>
      </c>
      <c r="K1899" s="391" t="str">
        <f t="shared" si="151"/>
        <v/>
      </c>
    </row>
    <row r="1900" spans="8:11">
      <c r="H1900" s="391" t="str">
        <f t="shared" si="148"/>
        <v/>
      </c>
      <c r="I1900" s="391" t="str">
        <f t="shared" si="149"/>
        <v/>
      </c>
      <c r="J1900" s="391" t="str">
        <f t="shared" si="150"/>
        <v/>
      </c>
      <c r="K1900" s="391" t="str">
        <f t="shared" si="151"/>
        <v/>
      </c>
    </row>
    <row r="1901" spans="8:11">
      <c r="H1901" s="391" t="str">
        <f t="shared" si="148"/>
        <v/>
      </c>
      <c r="I1901" s="391" t="str">
        <f t="shared" si="149"/>
        <v/>
      </c>
      <c r="J1901" s="391" t="str">
        <f t="shared" si="150"/>
        <v/>
      </c>
      <c r="K1901" s="391" t="str">
        <f t="shared" si="151"/>
        <v/>
      </c>
    </row>
    <row r="1902" spans="8:11">
      <c r="H1902" s="391" t="str">
        <f t="shared" si="148"/>
        <v/>
      </c>
      <c r="I1902" s="391" t="str">
        <f t="shared" si="149"/>
        <v/>
      </c>
      <c r="J1902" s="391" t="str">
        <f t="shared" si="150"/>
        <v/>
      </c>
      <c r="K1902" s="391" t="str">
        <f t="shared" si="151"/>
        <v/>
      </c>
    </row>
    <row r="1903" spans="8:11">
      <c r="H1903" s="391" t="str">
        <f t="shared" si="148"/>
        <v/>
      </c>
      <c r="I1903" s="391" t="str">
        <f t="shared" si="149"/>
        <v/>
      </c>
      <c r="J1903" s="391" t="str">
        <f t="shared" si="150"/>
        <v/>
      </c>
      <c r="K1903" s="391" t="str">
        <f t="shared" si="151"/>
        <v/>
      </c>
    </row>
    <row r="1904" spans="8:11">
      <c r="H1904" s="391" t="str">
        <f t="shared" si="148"/>
        <v/>
      </c>
      <c r="I1904" s="391" t="str">
        <f t="shared" si="149"/>
        <v/>
      </c>
      <c r="J1904" s="391" t="str">
        <f t="shared" si="150"/>
        <v/>
      </c>
      <c r="K1904" s="391" t="str">
        <f t="shared" si="151"/>
        <v/>
      </c>
    </row>
    <row r="1905" spans="8:11">
      <c r="H1905" s="391" t="str">
        <f t="shared" si="148"/>
        <v/>
      </c>
      <c r="I1905" s="391" t="str">
        <f t="shared" si="149"/>
        <v/>
      </c>
      <c r="J1905" s="391" t="str">
        <f t="shared" si="150"/>
        <v/>
      </c>
      <c r="K1905" s="391" t="str">
        <f t="shared" si="151"/>
        <v/>
      </c>
    </row>
    <row r="1906" spans="8:11">
      <c r="H1906" s="391" t="str">
        <f t="shared" si="148"/>
        <v/>
      </c>
      <c r="I1906" s="391" t="str">
        <f t="shared" si="149"/>
        <v/>
      </c>
      <c r="J1906" s="391" t="str">
        <f t="shared" si="150"/>
        <v/>
      </c>
      <c r="K1906" s="391" t="str">
        <f t="shared" si="151"/>
        <v/>
      </c>
    </row>
    <row r="1907" spans="8:11">
      <c r="H1907" s="391" t="str">
        <f t="shared" si="148"/>
        <v/>
      </c>
      <c r="I1907" s="391" t="str">
        <f t="shared" si="149"/>
        <v/>
      </c>
      <c r="J1907" s="391" t="str">
        <f t="shared" si="150"/>
        <v/>
      </c>
      <c r="K1907" s="391" t="str">
        <f t="shared" si="151"/>
        <v/>
      </c>
    </row>
    <row r="1908" spans="8:11">
      <c r="H1908" s="391" t="str">
        <f t="shared" si="148"/>
        <v/>
      </c>
      <c r="I1908" s="391" t="str">
        <f t="shared" si="149"/>
        <v/>
      </c>
      <c r="J1908" s="391" t="str">
        <f t="shared" si="150"/>
        <v/>
      </c>
      <c r="K1908" s="391" t="str">
        <f t="shared" si="151"/>
        <v/>
      </c>
    </row>
    <row r="1909" spans="8:11">
      <c r="H1909" s="391" t="str">
        <f t="shared" si="148"/>
        <v/>
      </c>
      <c r="I1909" s="391" t="str">
        <f t="shared" si="149"/>
        <v/>
      </c>
      <c r="J1909" s="391" t="str">
        <f t="shared" si="150"/>
        <v/>
      </c>
      <c r="K1909" s="391" t="str">
        <f t="shared" si="151"/>
        <v/>
      </c>
    </row>
    <row r="1910" spans="8:11">
      <c r="H1910" s="391" t="str">
        <f t="shared" si="148"/>
        <v/>
      </c>
      <c r="I1910" s="391" t="str">
        <f t="shared" si="149"/>
        <v/>
      </c>
      <c r="J1910" s="391" t="str">
        <f t="shared" si="150"/>
        <v/>
      </c>
      <c r="K1910" s="391" t="str">
        <f t="shared" si="151"/>
        <v/>
      </c>
    </row>
    <row r="1911" spans="8:11">
      <c r="H1911" s="391" t="str">
        <f t="shared" si="148"/>
        <v/>
      </c>
      <c r="I1911" s="391" t="str">
        <f t="shared" si="149"/>
        <v/>
      </c>
      <c r="J1911" s="391" t="str">
        <f t="shared" si="150"/>
        <v/>
      </c>
      <c r="K1911" s="391" t="str">
        <f t="shared" si="151"/>
        <v/>
      </c>
    </row>
    <row r="1912" spans="8:11">
      <c r="H1912" s="391" t="str">
        <f t="shared" si="148"/>
        <v/>
      </c>
      <c r="I1912" s="391" t="str">
        <f t="shared" si="149"/>
        <v/>
      </c>
      <c r="J1912" s="391" t="str">
        <f t="shared" si="150"/>
        <v/>
      </c>
      <c r="K1912" s="391" t="str">
        <f t="shared" si="151"/>
        <v/>
      </c>
    </row>
    <row r="1913" spans="8:11">
      <c r="H1913" s="391" t="str">
        <f t="shared" si="148"/>
        <v/>
      </c>
      <c r="I1913" s="391" t="str">
        <f t="shared" si="149"/>
        <v/>
      </c>
      <c r="J1913" s="391" t="str">
        <f t="shared" si="150"/>
        <v/>
      </c>
      <c r="K1913" s="391" t="str">
        <f t="shared" si="151"/>
        <v/>
      </c>
    </row>
    <row r="1914" spans="8:11">
      <c r="H1914" s="391" t="str">
        <f t="shared" si="148"/>
        <v/>
      </c>
      <c r="I1914" s="391" t="str">
        <f t="shared" si="149"/>
        <v/>
      </c>
      <c r="J1914" s="391" t="str">
        <f t="shared" si="150"/>
        <v/>
      </c>
      <c r="K1914" s="391" t="str">
        <f t="shared" si="151"/>
        <v/>
      </c>
    </row>
    <row r="1915" spans="8:11">
      <c r="H1915" s="391" t="str">
        <f t="shared" si="148"/>
        <v/>
      </c>
      <c r="I1915" s="391" t="str">
        <f t="shared" si="149"/>
        <v/>
      </c>
      <c r="J1915" s="391" t="str">
        <f t="shared" si="150"/>
        <v/>
      </c>
      <c r="K1915" s="391" t="str">
        <f t="shared" si="151"/>
        <v/>
      </c>
    </row>
    <row r="1916" spans="8:11">
      <c r="H1916" s="391" t="str">
        <f t="shared" si="148"/>
        <v/>
      </c>
      <c r="I1916" s="391" t="str">
        <f t="shared" si="149"/>
        <v/>
      </c>
      <c r="J1916" s="391" t="str">
        <f t="shared" si="150"/>
        <v/>
      </c>
      <c r="K1916" s="391" t="str">
        <f t="shared" si="151"/>
        <v/>
      </c>
    </row>
    <row r="1917" spans="8:11">
      <c r="H1917" s="391" t="str">
        <f t="shared" si="148"/>
        <v/>
      </c>
      <c r="I1917" s="391" t="str">
        <f t="shared" si="149"/>
        <v/>
      </c>
      <c r="J1917" s="391" t="str">
        <f t="shared" si="150"/>
        <v/>
      </c>
      <c r="K1917" s="391" t="str">
        <f t="shared" si="151"/>
        <v/>
      </c>
    </row>
    <row r="1918" spans="8:11">
      <c r="H1918" s="391" t="str">
        <f t="shared" si="148"/>
        <v/>
      </c>
      <c r="I1918" s="391" t="str">
        <f t="shared" si="149"/>
        <v/>
      </c>
      <c r="J1918" s="391" t="str">
        <f t="shared" si="150"/>
        <v/>
      </c>
      <c r="K1918" s="391" t="str">
        <f t="shared" si="151"/>
        <v/>
      </c>
    </row>
    <row r="1919" spans="8:11">
      <c r="H1919" s="391" t="str">
        <f t="shared" si="148"/>
        <v/>
      </c>
      <c r="I1919" s="391" t="str">
        <f t="shared" si="149"/>
        <v/>
      </c>
      <c r="J1919" s="391" t="str">
        <f t="shared" si="150"/>
        <v/>
      </c>
      <c r="K1919" s="391" t="str">
        <f t="shared" si="151"/>
        <v/>
      </c>
    </row>
    <row r="1920" spans="8:11">
      <c r="H1920" s="391" t="str">
        <f t="shared" si="148"/>
        <v/>
      </c>
      <c r="I1920" s="391" t="str">
        <f t="shared" si="149"/>
        <v/>
      </c>
      <c r="J1920" s="391" t="str">
        <f t="shared" si="150"/>
        <v/>
      </c>
      <c r="K1920" s="391" t="str">
        <f t="shared" si="151"/>
        <v/>
      </c>
    </row>
    <row r="1921" spans="8:11">
      <c r="H1921" s="391" t="str">
        <f t="shared" si="148"/>
        <v/>
      </c>
      <c r="I1921" s="391" t="str">
        <f t="shared" si="149"/>
        <v/>
      </c>
      <c r="J1921" s="391" t="str">
        <f t="shared" si="150"/>
        <v/>
      </c>
      <c r="K1921" s="391" t="str">
        <f t="shared" si="151"/>
        <v/>
      </c>
    </row>
    <row r="1922" spans="8:11">
      <c r="H1922" s="391" t="str">
        <f t="shared" si="148"/>
        <v/>
      </c>
      <c r="I1922" s="391" t="str">
        <f t="shared" si="149"/>
        <v/>
      </c>
      <c r="J1922" s="391" t="str">
        <f t="shared" si="150"/>
        <v/>
      </c>
      <c r="K1922" s="391" t="str">
        <f t="shared" si="151"/>
        <v/>
      </c>
    </row>
    <row r="1923" spans="8:11">
      <c r="H1923" s="391" t="str">
        <f t="shared" si="148"/>
        <v/>
      </c>
      <c r="I1923" s="391" t="str">
        <f t="shared" si="149"/>
        <v/>
      </c>
      <c r="J1923" s="391" t="str">
        <f t="shared" si="150"/>
        <v/>
      </c>
      <c r="K1923" s="391" t="str">
        <f t="shared" si="151"/>
        <v/>
      </c>
    </row>
    <row r="1924" spans="8:11">
      <c r="H1924" s="391" t="str">
        <f t="shared" si="148"/>
        <v/>
      </c>
      <c r="I1924" s="391" t="str">
        <f t="shared" si="149"/>
        <v/>
      </c>
      <c r="J1924" s="391" t="str">
        <f t="shared" si="150"/>
        <v/>
      </c>
      <c r="K1924" s="391" t="str">
        <f t="shared" si="151"/>
        <v/>
      </c>
    </row>
    <row r="1925" spans="8:11">
      <c r="H1925" s="391" t="str">
        <f t="shared" si="148"/>
        <v/>
      </c>
      <c r="I1925" s="391" t="str">
        <f t="shared" si="149"/>
        <v/>
      </c>
      <c r="J1925" s="391" t="str">
        <f t="shared" si="150"/>
        <v/>
      </c>
      <c r="K1925" s="391" t="str">
        <f t="shared" si="151"/>
        <v/>
      </c>
    </row>
    <row r="1926" spans="8:11">
      <c r="H1926" s="391" t="str">
        <f t="shared" si="148"/>
        <v/>
      </c>
      <c r="I1926" s="391" t="str">
        <f t="shared" si="149"/>
        <v/>
      </c>
      <c r="J1926" s="391" t="str">
        <f t="shared" si="150"/>
        <v/>
      </c>
      <c r="K1926" s="391" t="str">
        <f t="shared" si="151"/>
        <v/>
      </c>
    </row>
    <row r="1927" spans="8:11">
      <c r="H1927" s="391" t="str">
        <f t="shared" si="148"/>
        <v/>
      </c>
      <c r="I1927" s="391" t="str">
        <f t="shared" si="149"/>
        <v/>
      </c>
      <c r="J1927" s="391" t="str">
        <f t="shared" si="150"/>
        <v/>
      </c>
      <c r="K1927" s="391" t="str">
        <f t="shared" si="151"/>
        <v/>
      </c>
    </row>
    <row r="1928" spans="8:11">
      <c r="H1928" s="391" t="str">
        <f t="shared" si="148"/>
        <v/>
      </c>
      <c r="I1928" s="391" t="str">
        <f t="shared" si="149"/>
        <v/>
      </c>
      <c r="J1928" s="391" t="str">
        <f t="shared" si="150"/>
        <v/>
      </c>
      <c r="K1928" s="391" t="str">
        <f t="shared" si="151"/>
        <v/>
      </c>
    </row>
    <row r="1929" spans="8:11">
      <c r="H1929" s="391" t="str">
        <f t="shared" si="148"/>
        <v/>
      </c>
      <c r="I1929" s="391" t="str">
        <f t="shared" si="149"/>
        <v/>
      </c>
      <c r="J1929" s="391" t="str">
        <f t="shared" si="150"/>
        <v/>
      </c>
      <c r="K1929" s="391" t="str">
        <f t="shared" si="151"/>
        <v/>
      </c>
    </row>
    <row r="1930" spans="8:11">
      <c r="H1930" s="391" t="str">
        <f t="shared" si="148"/>
        <v/>
      </c>
      <c r="I1930" s="391" t="str">
        <f t="shared" si="149"/>
        <v/>
      </c>
      <c r="J1930" s="391" t="str">
        <f t="shared" si="150"/>
        <v/>
      </c>
      <c r="K1930" s="391" t="str">
        <f t="shared" si="151"/>
        <v/>
      </c>
    </row>
    <row r="1931" spans="8:11">
      <c r="H1931" s="391" t="str">
        <f t="shared" si="148"/>
        <v/>
      </c>
      <c r="I1931" s="391" t="str">
        <f t="shared" si="149"/>
        <v/>
      </c>
      <c r="J1931" s="391" t="str">
        <f t="shared" si="150"/>
        <v/>
      </c>
      <c r="K1931" s="391" t="str">
        <f t="shared" si="151"/>
        <v/>
      </c>
    </row>
    <row r="1932" spans="8:11">
      <c r="H1932" s="391" t="str">
        <f t="shared" si="148"/>
        <v/>
      </c>
      <c r="I1932" s="391" t="str">
        <f t="shared" si="149"/>
        <v/>
      </c>
      <c r="J1932" s="391" t="str">
        <f t="shared" si="150"/>
        <v/>
      </c>
      <c r="K1932" s="391" t="str">
        <f t="shared" si="151"/>
        <v/>
      </c>
    </row>
    <row r="1933" spans="8:11">
      <c r="H1933" s="391" t="str">
        <f t="shared" si="148"/>
        <v/>
      </c>
      <c r="I1933" s="391" t="str">
        <f t="shared" si="149"/>
        <v/>
      </c>
      <c r="J1933" s="391" t="str">
        <f t="shared" si="150"/>
        <v/>
      </c>
      <c r="K1933" s="391" t="str">
        <f t="shared" si="151"/>
        <v/>
      </c>
    </row>
    <row r="1934" spans="8:11">
      <c r="H1934" s="391" t="str">
        <f t="shared" si="148"/>
        <v/>
      </c>
      <c r="I1934" s="391" t="str">
        <f t="shared" si="149"/>
        <v/>
      </c>
      <c r="J1934" s="391" t="str">
        <f t="shared" si="150"/>
        <v/>
      </c>
      <c r="K1934" s="391" t="str">
        <f t="shared" si="151"/>
        <v/>
      </c>
    </row>
    <row r="1935" spans="8:11">
      <c r="H1935" s="391" t="str">
        <f t="shared" si="148"/>
        <v/>
      </c>
      <c r="I1935" s="391" t="str">
        <f t="shared" si="149"/>
        <v/>
      </c>
      <c r="J1935" s="391" t="str">
        <f t="shared" si="150"/>
        <v/>
      </c>
      <c r="K1935" s="391" t="str">
        <f t="shared" si="151"/>
        <v/>
      </c>
    </row>
    <row r="1936" spans="8:11">
      <c r="H1936" s="391" t="str">
        <f t="shared" si="148"/>
        <v/>
      </c>
      <c r="I1936" s="391" t="str">
        <f t="shared" si="149"/>
        <v/>
      </c>
      <c r="J1936" s="391" t="str">
        <f t="shared" si="150"/>
        <v/>
      </c>
      <c r="K1936" s="391" t="str">
        <f t="shared" si="151"/>
        <v/>
      </c>
    </row>
    <row r="1937" spans="8:11">
      <c r="H1937" s="391" t="str">
        <f t="shared" si="148"/>
        <v/>
      </c>
      <c r="I1937" s="391" t="str">
        <f t="shared" si="149"/>
        <v/>
      </c>
      <c r="J1937" s="391" t="str">
        <f t="shared" si="150"/>
        <v/>
      </c>
      <c r="K1937" s="391" t="str">
        <f t="shared" si="151"/>
        <v/>
      </c>
    </row>
    <row r="1938" spans="8:11">
      <c r="H1938" s="391" t="str">
        <f t="shared" si="148"/>
        <v/>
      </c>
      <c r="I1938" s="391" t="str">
        <f t="shared" si="149"/>
        <v/>
      </c>
      <c r="J1938" s="391" t="str">
        <f t="shared" si="150"/>
        <v/>
      </c>
      <c r="K1938" s="391" t="str">
        <f t="shared" si="151"/>
        <v/>
      </c>
    </row>
    <row r="1939" spans="8:11">
      <c r="H1939" s="391" t="str">
        <f t="shared" si="148"/>
        <v/>
      </c>
      <c r="I1939" s="391" t="str">
        <f t="shared" si="149"/>
        <v/>
      </c>
      <c r="J1939" s="391" t="str">
        <f t="shared" si="150"/>
        <v/>
      </c>
      <c r="K1939" s="391" t="str">
        <f t="shared" si="151"/>
        <v/>
      </c>
    </row>
    <row r="1940" spans="8:11">
      <c r="H1940" s="391" t="str">
        <f t="shared" si="148"/>
        <v/>
      </c>
      <c r="I1940" s="391" t="str">
        <f t="shared" si="149"/>
        <v/>
      </c>
      <c r="J1940" s="391" t="str">
        <f t="shared" si="150"/>
        <v/>
      </c>
      <c r="K1940" s="391" t="str">
        <f t="shared" si="151"/>
        <v/>
      </c>
    </row>
    <row r="1941" spans="8:11">
      <c r="H1941" s="391" t="str">
        <f t="shared" si="148"/>
        <v/>
      </c>
      <c r="I1941" s="391" t="str">
        <f t="shared" si="149"/>
        <v/>
      </c>
      <c r="J1941" s="391" t="str">
        <f t="shared" si="150"/>
        <v/>
      </c>
      <c r="K1941" s="391" t="str">
        <f t="shared" si="151"/>
        <v/>
      </c>
    </row>
    <row r="1942" spans="8:11">
      <c r="H1942" s="391" t="str">
        <f t="shared" si="148"/>
        <v/>
      </c>
      <c r="I1942" s="391" t="str">
        <f t="shared" si="149"/>
        <v/>
      </c>
      <c r="J1942" s="391" t="str">
        <f t="shared" si="150"/>
        <v/>
      </c>
      <c r="K1942" s="391" t="str">
        <f t="shared" si="151"/>
        <v/>
      </c>
    </row>
    <row r="1943" spans="8:11">
      <c r="H1943" s="391" t="str">
        <f t="shared" si="148"/>
        <v/>
      </c>
      <c r="I1943" s="391" t="str">
        <f t="shared" si="149"/>
        <v/>
      </c>
      <c r="J1943" s="391" t="str">
        <f t="shared" si="150"/>
        <v/>
      </c>
      <c r="K1943" s="391" t="str">
        <f t="shared" si="151"/>
        <v/>
      </c>
    </row>
    <row r="1944" spans="8:11">
      <c r="H1944" s="391" t="str">
        <f t="shared" si="148"/>
        <v/>
      </c>
      <c r="I1944" s="391" t="str">
        <f t="shared" si="149"/>
        <v/>
      </c>
      <c r="J1944" s="391" t="str">
        <f t="shared" si="150"/>
        <v/>
      </c>
      <c r="K1944" s="391" t="str">
        <f t="shared" si="151"/>
        <v/>
      </c>
    </row>
    <row r="1945" spans="8:11">
      <c r="H1945" s="391" t="str">
        <f t="shared" si="148"/>
        <v/>
      </c>
      <c r="I1945" s="391" t="str">
        <f t="shared" si="149"/>
        <v/>
      </c>
      <c r="J1945" s="391" t="str">
        <f t="shared" si="150"/>
        <v/>
      </c>
      <c r="K1945" s="391" t="str">
        <f t="shared" si="151"/>
        <v/>
      </c>
    </row>
    <row r="1946" spans="8:11">
      <c r="H1946" s="391" t="str">
        <f t="shared" si="148"/>
        <v/>
      </c>
      <c r="I1946" s="391" t="str">
        <f t="shared" si="149"/>
        <v/>
      </c>
      <c r="J1946" s="391" t="str">
        <f t="shared" si="150"/>
        <v/>
      </c>
      <c r="K1946" s="391" t="str">
        <f t="shared" si="151"/>
        <v/>
      </c>
    </row>
    <row r="1947" spans="8:11">
      <c r="H1947" s="391" t="str">
        <f t="shared" si="148"/>
        <v/>
      </c>
      <c r="I1947" s="391" t="str">
        <f t="shared" si="149"/>
        <v/>
      </c>
      <c r="J1947" s="391" t="str">
        <f t="shared" si="150"/>
        <v/>
      </c>
      <c r="K1947" s="391" t="str">
        <f t="shared" si="151"/>
        <v/>
      </c>
    </row>
    <row r="1948" spans="8:11">
      <c r="H1948" s="391" t="str">
        <f t="shared" si="148"/>
        <v/>
      </c>
      <c r="I1948" s="391" t="str">
        <f t="shared" si="149"/>
        <v/>
      </c>
      <c r="J1948" s="391" t="str">
        <f t="shared" si="150"/>
        <v/>
      </c>
      <c r="K1948" s="391" t="str">
        <f t="shared" si="151"/>
        <v/>
      </c>
    </row>
    <row r="1949" spans="8:11">
      <c r="H1949" s="391" t="str">
        <f t="shared" si="148"/>
        <v/>
      </c>
      <c r="I1949" s="391" t="str">
        <f t="shared" si="149"/>
        <v/>
      </c>
      <c r="J1949" s="391" t="str">
        <f t="shared" si="150"/>
        <v/>
      </c>
      <c r="K1949" s="391" t="str">
        <f t="shared" si="151"/>
        <v/>
      </c>
    </row>
    <row r="1950" spans="8:11">
      <c r="H1950" s="391" t="str">
        <f t="shared" si="148"/>
        <v/>
      </c>
      <c r="I1950" s="391" t="str">
        <f t="shared" si="149"/>
        <v/>
      </c>
      <c r="J1950" s="391" t="str">
        <f t="shared" si="150"/>
        <v/>
      </c>
      <c r="K1950" s="391" t="str">
        <f t="shared" si="151"/>
        <v/>
      </c>
    </row>
    <row r="1951" spans="8:11">
      <c r="H1951" s="391" t="str">
        <f t="shared" si="148"/>
        <v/>
      </c>
      <c r="I1951" s="391" t="str">
        <f t="shared" si="149"/>
        <v/>
      </c>
      <c r="J1951" s="391" t="str">
        <f t="shared" si="150"/>
        <v/>
      </c>
      <c r="K1951" s="391" t="str">
        <f t="shared" si="151"/>
        <v/>
      </c>
    </row>
    <row r="1952" spans="8:11">
      <c r="H1952" s="391" t="str">
        <f t="shared" si="148"/>
        <v/>
      </c>
      <c r="I1952" s="391" t="str">
        <f t="shared" si="149"/>
        <v/>
      </c>
      <c r="J1952" s="391" t="str">
        <f t="shared" si="150"/>
        <v/>
      </c>
      <c r="K1952" s="391" t="str">
        <f t="shared" si="151"/>
        <v/>
      </c>
    </row>
    <row r="1953" spans="8:11">
      <c r="H1953" s="391" t="str">
        <f t="shared" si="148"/>
        <v/>
      </c>
      <c r="I1953" s="391" t="str">
        <f t="shared" si="149"/>
        <v/>
      </c>
      <c r="J1953" s="391" t="str">
        <f t="shared" si="150"/>
        <v/>
      </c>
      <c r="K1953" s="391" t="str">
        <f t="shared" si="151"/>
        <v/>
      </c>
    </row>
    <row r="1954" spans="8:11">
      <c r="H1954" s="391" t="str">
        <f t="shared" si="148"/>
        <v/>
      </c>
      <c r="I1954" s="391" t="str">
        <f t="shared" si="149"/>
        <v/>
      </c>
      <c r="J1954" s="391" t="str">
        <f t="shared" si="150"/>
        <v/>
      </c>
      <c r="K1954" s="391" t="str">
        <f t="shared" si="151"/>
        <v/>
      </c>
    </row>
    <row r="1955" spans="8:11">
      <c r="H1955" s="391" t="str">
        <f t="shared" si="148"/>
        <v/>
      </c>
      <c r="I1955" s="391" t="str">
        <f t="shared" si="149"/>
        <v/>
      </c>
      <c r="J1955" s="391" t="str">
        <f t="shared" si="150"/>
        <v/>
      </c>
      <c r="K1955" s="391" t="str">
        <f t="shared" si="151"/>
        <v/>
      </c>
    </row>
    <row r="1956" spans="8:11">
      <c r="H1956" s="391" t="str">
        <f t="shared" si="148"/>
        <v/>
      </c>
      <c r="I1956" s="391" t="str">
        <f t="shared" si="149"/>
        <v/>
      </c>
      <c r="J1956" s="391" t="str">
        <f t="shared" si="150"/>
        <v/>
      </c>
      <c r="K1956" s="391" t="str">
        <f t="shared" si="151"/>
        <v/>
      </c>
    </row>
    <row r="1957" spans="8:11">
      <c r="H1957" s="391" t="str">
        <f t="shared" si="148"/>
        <v/>
      </c>
      <c r="I1957" s="391" t="str">
        <f t="shared" si="149"/>
        <v/>
      </c>
      <c r="J1957" s="391" t="str">
        <f t="shared" si="150"/>
        <v/>
      </c>
      <c r="K1957" s="391" t="str">
        <f t="shared" si="151"/>
        <v/>
      </c>
    </row>
    <row r="1958" spans="8:11">
      <c r="H1958" s="391" t="str">
        <f t="shared" si="148"/>
        <v/>
      </c>
      <c r="I1958" s="391" t="str">
        <f t="shared" si="149"/>
        <v/>
      </c>
      <c r="J1958" s="391" t="str">
        <f t="shared" si="150"/>
        <v/>
      </c>
      <c r="K1958" s="391" t="str">
        <f t="shared" si="151"/>
        <v/>
      </c>
    </row>
    <row r="1959" spans="8:11">
      <c r="H1959" s="391" t="str">
        <f t="shared" si="148"/>
        <v/>
      </c>
      <c r="I1959" s="391" t="str">
        <f t="shared" si="149"/>
        <v/>
      </c>
      <c r="J1959" s="391" t="str">
        <f t="shared" si="150"/>
        <v/>
      </c>
      <c r="K1959" s="391" t="str">
        <f t="shared" si="151"/>
        <v/>
      </c>
    </row>
    <row r="1960" spans="8:11">
      <c r="H1960" s="391" t="str">
        <f t="shared" si="148"/>
        <v/>
      </c>
      <c r="I1960" s="391" t="str">
        <f t="shared" si="149"/>
        <v/>
      </c>
      <c r="J1960" s="391" t="str">
        <f t="shared" si="150"/>
        <v/>
      </c>
      <c r="K1960" s="391" t="str">
        <f t="shared" si="151"/>
        <v/>
      </c>
    </row>
    <row r="1961" spans="8:11">
      <c r="H1961" s="391" t="str">
        <f t="shared" ref="H1961:H1978" si="152">IF($C983="","",ROUND(($B$2*$F983*($B$5/1000))/$B$6,2))</f>
        <v/>
      </c>
      <c r="I1961" s="391" t="str">
        <f t="shared" ref="I1961:I1978" si="153">IF($C983="","",ROUND(($B$3*$F983*($B$5/1000))/$B$6,2))</f>
        <v/>
      </c>
      <c r="J1961" s="391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1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>
      <c r="H1962" s="391" t="str">
        <f t="shared" si="152"/>
        <v/>
      </c>
      <c r="I1962" s="391" t="str">
        <f t="shared" si="153"/>
        <v/>
      </c>
      <c r="J1962" s="391" t="str">
        <f t="shared" si="154"/>
        <v/>
      </c>
      <c r="K1962" s="391" t="str">
        <f t="shared" si="155"/>
        <v/>
      </c>
    </row>
    <row r="1963" spans="8:11">
      <c r="H1963" s="391" t="str">
        <f t="shared" si="152"/>
        <v/>
      </c>
      <c r="I1963" s="391" t="str">
        <f t="shared" si="153"/>
        <v/>
      </c>
      <c r="J1963" s="391" t="str">
        <f t="shared" si="154"/>
        <v/>
      </c>
      <c r="K1963" s="391" t="str">
        <f t="shared" si="155"/>
        <v/>
      </c>
    </row>
    <row r="1964" spans="8:11">
      <c r="H1964" s="391" t="str">
        <f t="shared" si="152"/>
        <v/>
      </c>
      <c r="I1964" s="391" t="str">
        <f t="shared" si="153"/>
        <v/>
      </c>
      <c r="J1964" s="391" t="str">
        <f t="shared" si="154"/>
        <v/>
      </c>
      <c r="K1964" s="391" t="str">
        <f t="shared" si="155"/>
        <v/>
      </c>
    </row>
    <row r="1965" spans="8:11">
      <c r="H1965" s="391" t="str">
        <f t="shared" si="152"/>
        <v/>
      </c>
      <c r="I1965" s="391" t="str">
        <f t="shared" si="153"/>
        <v/>
      </c>
      <c r="J1965" s="391" t="str">
        <f t="shared" si="154"/>
        <v/>
      </c>
      <c r="K1965" s="391" t="str">
        <f t="shared" si="155"/>
        <v/>
      </c>
    </row>
    <row r="1966" spans="8:11">
      <c r="H1966" s="391" t="str">
        <f t="shared" si="152"/>
        <v/>
      </c>
      <c r="I1966" s="391" t="str">
        <f t="shared" si="153"/>
        <v/>
      </c>
      <c r="J1966" s="391" t="str">
        <f t="shared" si="154"/>
        <v/>
      </c>
      <c r="K1966" s="391" t="str">
        <f t="shared" si="155"/>
        <v/>
      </c>
    </row>
    <row r="1967" spans="8:11">
      <c r="H1967" s="391" t="str">
        <f t="shared" si="152"/>
        <v/>
      </c>
      <c r="I1967" s="391" t="str">
        <f t="shared" si="153"/>
        <v/>
      </c>
      <c r="J1967" s="391" t="str">
        <f t="shared" si="154"/>
        <v/>
      </c>
      <c r="K1967" s="391" t="str">
        <f t="shared" si="155"/>
        <v/>
      </c>
    </row>
    <row r="1968" spans="8:11">
      <c r="H1968" s="391" t="str">
        <f t="shared" si="152"/>
        <v/>
      </c>
      <c r="I1968" s="391" t="str">
        <f t="shared" si="153"/>
        <v/>
      </c>
      <c r="J1968" s="391" t="str">
        <f t="shared" si="154"/>
        <v/>
      </c>
      <c r="K1968" s="391" t="str">
        <f t="shared" si="155"/>
        <v/>
      </c>
    </row>
    <row r="1969" spans="8:11">
      <c r="H1969" s="391" t="str">
        <f t="shared" si="152"/>
        <v/>
      </c>
      <c r="I1969" s="391" t="str">
        <f t="shared" si="153"/>
        <v/>
      </c>
      <c r="J1969" s="391" t="str">
        <f t="shared" si="154"/>
        <v/>
      </c>
      <c r="K1969" s="391" t="str">
        <f t="shared" si="155"/>
        <v/>
      </c>
    </row>
    <row r="1970" spans="8:11">
      <c r="H1970" s="391" t="str">
        <f t="shared" si="152"/>
        <v/>
      </c>
      <c r="I1970" s="391" t="str">
        <f t="shared" si="153"/>
        <v/>
      </c>
      <c r="J1970" s="391" t="str">
        <f t="shared" si="154"/>
        <v/>
      </c>
      <c r="K1970" s="391" t="str">
        <f t="shared" si="155"/>
        <v/>
      </c>
    </row>
    <row r="1971" spans="8:11">
      <c r="H1971" s="391" t="str">
        <f t="shared" si="152"/>
        <v/>
      </c>
      <c r="I1971" s="391" t="str">
        <f t="shared" si="153"/>
        <v/>
      </c>
      <c r="J1971" s="391" t="str">
        <f t="shared" si="154"/>
        <v/>
      </c>
      <c r="K1971" s="391" t="str">
        <f t="shared" si="155"/>
        <v/>
      </c>
    </row>
    <row r="1972" spans="8:11">
      <c r="H1972" s="391" t="str">
        <f t="shared" si="152"/>
        <v/>
      </c>
      <c r="I1972" s="391" t="str">
        <f t="shared" si="153"/>
        <v/>
      </c>
      <c r="J1972" s="391" t="str">
        <f t="shared" si="154"/>
        <v/>
      </c>
      <c r="K1972" s="391" t="str">
        <f t="shared" si="155"/>
        <v/>
      </c>
    </row>
    <row r="1973" spans="8:11">
      <c r="H1973" s="391" t="str">
        <f t="shared" si="152"/>
        <v/>
      </c>
      <c r="I1973" s="391" t="str">
        <f t="shared" si="153"/>
        <v/>
      </c>
      <c r="J1973" s="391" t="str">
        <f t="shared" si="154"/>
        <v/>
      </c>
      <c r="K1973" s="391" t="str">
        <f t="shared" si="155"/>
        <v/>
      </c>
    </row>
    <row r="1974" spans="8:11">
      <c r="H1974" s="391" t="str">
        <f t="shared" si="152"/>
        <v/>
      </c>
      <c r="I1974" s="391" t="str">
        <f t="shared" si="153"/>
        <v/>
      </c>
      <c r="J1974" s="391" t="str">
        <f t="shared" si="154"/>
        <v/>
      </c>
      <c r="K1974" s="391" t="str">
        <f t="shared" si="155"/>
        <v/>
      </c>
    </row>
    <row r="1975" spans="8:11">
      <c r="H1975" s="391" t="str">
        <f t="shared" si="152"/>
        <v/>
      </c>
      <c r="I1975" s="391" t="str">
        <f t="shared" si="153"/>
        <v/>
      </c>
      <c r="J1975" s="391" t="str">
        <f t="shared" si="154"/>
        <v/>
      </c>
      <c r="K1975" s="391" t="str">
        <f t="shared" si="155"/>
        <v/>
      </c>
    </row>
    <row r="1976" spans="8:11">
      <c r="H1976" s="391" t="str">
        <f t="shared" si="152"/>
        <v/>
      </c>
      <c r="I1976" s="391" t="str">
        <f t="shared" si="153"/>
        <v/>
      </c>
      <c r="J1976" s="391" t="str">
        <f t="shared" si="154"/>
        <v/>
      </c>
      <c r="K1976" s="391" t="str">
        <f t="shared" si="155"/>
        <v/>
      </c>
    </row>
    <row r="1977" spans="8:11">
      <c r="H1977" s="391" t="str">
        <f t="shared" si="152"/>
        <v/>
      </c>
      <c r="I1977" s="391" t="str">
        <f t="shared" si="153"/>
        <v/>
      </c>
      <c r="J1977" s="391" t="str">
        <f t="shared" si="154"/>
        <v/>
      </c>
      <c r="K1977" s="391" t="str">
        <f t="shared" si="155"/>
        <v/>
      </c>
    </row>
    <row r="1978" spans="8:11">
      <c r="H1978" s="391" t="str">
        <f t="shared" si="152"/>
        <v/>
      </c>
      <c r="I1978" s="391" t="str">
        <f t="shared" si="153"/>
        <v/>
      </c>
      <c r="J1978" s="391" t="str">
        <f t="shared" si="154"/>
        <v/>
      </c>
      <c r="K1978" s="391" t="str">
        <f t="shared" si="155"/>
        <v/>
      </c>
    </row>
    <row r="1979" spans="8:11">
      <c r="H1979" s="392"/>
      <c r="I1979" s="392"/>
      <c r="J1979" s="392"/>
      <c r="K1979" s="392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/>
  <cols>
    <col min="1" max="16384" width="9.140625" style="367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F3" sqref="F3"/>
    </sheetView>
  </sheetViews>
  <sheetFormatPr defaultRowHeight="15"/>
  <cols>
    <col min="1" max="1" width="31" bestFit="1" customWidth="1"/>
    <col min="2" max="2" width="17.28515625" bestFit="1" customWidth="1"/>
    <col min="3" max="3" width="30" bestFit="1" customWidth="1"/>
    <col min="4" max="4" width="19.285156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18" customFormat="1">
      <c r="A1" s="218" t="str">
        <f>CalcEngine!A60</f>
        <v>▼ [Product Group]</v>
      </c>
      <c r="B1" s="218" t="str">
        <f>CalcEngine!B60</f>
        <v>▼ [Service Mode]</v>
      </c>
      <c r="C1" s="218" t="str">
        <f>CalcEngine!C60</f>
        <v>▼ [Product Type]</v>
      </c>
      <c r="D1" s="218" t="str">
        <f>IF(UPPER(TRIM(SUBSTITUTE(Enginuity!$A$1,CHAR(160)," ")))="VITALLY","▼ [Frame Finish]",CalcEngine!D60)</f>
        <v>▼ [Frame Finish]</v>
      </c>
      <c r="E1" s="218" t="str">
        <f>CalcEngine!E60</f>
        <v>▼ [Panel / Infill]</v>
      </c>
      <c r="F1" s="218" t="str" cm="1">
        <f t="array" ref="F1">IF(UPPER(TRIM(SUBSTITUTE(Enginuity!$A$1,CHAR(160)," ")))="VITALLY",IF(OR(TRIM(SUBSTITUTE(Enginuity!$A$18,CHAR(160)," "))="",TRIM(SUBSTITUTE(Enginuity!$B$18,CHAR(160)," "))=""),"",IFERROR(_xlfn.LET(_xlpm.selectedType,TRIM(SUBSTITUTE(Enginuity!$A$18,CHAR(160)," ")),_xlpm.vitRows,_xlfn._xlws.FILTER(ROW(CalcEngine!$A$61:$A$4970),(UPPER(TRIM(SUBSTITUTE(CalcEngine!$A$61:$A$4970,CHAR(160)," ")))="VITALLY")*(TRIM(SUBSTITUTE(CalcEngine!$C$61:$C$4970,CHAR(160)," "))=_xlpm.selectedType)),_xlpm.vitTops,_xlfn.UNIQUE(61+30*INT((_xlpm.vitRows-61)/30)),_xlpm.vitTop,INDEX(_xlfn._xlws.FILTER(_xlpm.vitTops,TRIM(SUBSTITUTE(INDEX(CalcEngine!$F:$F,_xlpm.vitTops),CHAR(160)," "))="▼ [Product Subtype]"),1),_xlpm.headerText,TRIM(SUBSTITUTE(INDEX(CalcEngine!$F:$F,_xlpm.vitTop+9),CHAR(160)," ")),IF(OR(_xlpm.headerText="",_xlpm.headerText="▼ [Product Subtype]"),"",_xlpm.headerText)),"")),IFERROR(_xlfn.LET(_xlpm.hitRows,_xlfn._xlws.FILTER(ROW(CalcEngine!$A$61:$A$4970),(TRIM(SUBSTITUTE(CalcEngine!$A$61:$A$4970,CHAR(160)," "))=TRIM(SUBSTITUTE(Enginuity!$A$1,CHAR(160)," ")))*(TRIM(SUBSTITUTE(CalcEngine!$C$61:$C$4970,CHAR(160)," "))=TRIM(SUBSTITUTE(Enginuity!$A$18,CHAR(160)," ")))*(TRIM(SUBSTITUTE(CalcEngine!$D$61:$D$4970,CHAR(160)," "))=TRIM(SUBSTITUTE(Enginuity!$A$19,CHAR(160)," ")))),_xlpm.hitRow,INDEX(_xlpm.hitRows,1),_xlpm.blockTop,61+30*INT((_xlpm.hitRow-61)/30),_xlpm.blockRange,INDEX(CalcEngine!$F:$F,_xlpm.blockTop):INDEX(CalcEngine!$F:$F,_xlpm.blockTop+29),_xlpm.cleanRange,TRIM(SUBSTITUTE(_xlpm.blockRange,CHAR(160)," ")),_xlpm.headerPos,IFERROR(MATCH("▼ [Insert]",_xlpm.cleanRange,0),MATCH("▼ [Lattice Option]",_xlpm.cleanRange,0)),INDEX(_xlpm.blockRange,_xlpm.headerPos)),""))</f>
        <v>▼ [Insert]</v>
      </c>
      <c r="G1" s="218" t="str" cm="1">
        <f t="array" ref="G1">IF(UPPER(TRIM(SUBSTITUTE(Enginuity!$A$21,CHAR(160)," ")))="SECURITY DOOR INSERT","",IFERROR(_xlfn.LET(_xlpm.grp,UPPER(TRIM(SUBSTITUTE(Enginuity!$A$1,CHAR(160)," "))),_xlpm.typ,UPPER(TRIM(SUBSTITUTE(Enginuity!$A$18,CHAR(160)," "))),_xlpm.r,ROW(CalcEngine!$A$61:$A$4970),_xlpm.a,UPPER(TRIM(SUBSTITUTE(CalcEngine!$A$61:$A$4970,CHAR(160)," "))),_xlpm.b,UPPER(TRIM(SUBSTITUTE(CalcEngine!$B$61:$B$4970,CHAR(160)," "))),_xlpm.c,UPPER(TRIM(SUBSTITUTE(CalcEngine!$C$61:$C$4970,CHAR(160)," "))),_xlpm.d,UPPER(TRIM(SUBSTITUTE(CalcEngine!$D$61:$D$4970,CHAR(160)," "))),_xlpm.hit,IF(_xlpm.grp="VITALLY",_xlfn._xlws.FILTER(_xlpm.r,(_xlpm.a="VITALLY")*(_xlpm.c=_xlpm.typ)),_xlfn._xlws.FILTER(_xlpm.r,(_xlpm.a=_xlpm.grp)*(_xlpm.c=_xlpm.typ)*(_xlpm.b="INSTALL ONLY")*(_xlpm.d="N/A"))),_xlpm.top,61+30*INT((INDEX(_xlpm.hit,1)-61)/30),_xlpm.hdr,TRIM(SUBSTITUTE(INDEX(CalcEngine!$G:$G,_xlpm.top),CHAR(160)," ")),IF(OR(_xlpm.hdr="",_xlpm.hdr="0"),"",_xlpm.hdr)),""))</f>
        <v/>
      </c>
      <c r="H1" s="218" cm="1">
        <f t="array" ref="H1">IF(
  UPPER(TRIM(SUBSTITUTE(Enginuity!$A$1,CHAR(160)," ")))="VITALLY",
  IFERROR(
    _xlfn.LET(
      _xlpm.col,COLUMN(),
      _xlpm.r,ROW(CalcEngine!$A$61:$A$4819),
      _xlpm.hit,_xlfn._xlws.FILTER(
        _xlpm.r,
        (TRIM(CalcEngine!$A$61:$A$4819)=TRIM(Enginuity!$A$1))*
        (TRIM(CalcEngine!$C$61:$C$4819)=TRIM(Enginuity!$A$18))
      ),
      _xlpm.top,61+30*INT((INDEX(_xlpm.hit,1)-61)/30),
      INDEX(CalcEngine!$1:$1048576,_xlpm.top,_xlpm.col)
    ),
    ""
  ),
  _xlfn.LET(
    _xlpm.col,COLUMN(),
    _xlpm.r,ROW(CalcEngine!$A$61:$A$4819),
    _xlpm.hit,_xlfn._xlws.FILTER(
      _xlpm.r,
      (TRIM(CalcEngine!$A$61:$A$4819)=TRIM(Enginuity!$A$1))*
      (TRIM(CalcEngine!$C$61:$C$4819)=TRIM(Enginuity!$A$18))*
      (TRIM(CalcEngine!$B$61:$B$4819)="Install Only")*
      (TRIM(CalcEngine!$D$61:$D$4819)="N/A")
    ),
    IFERROR(
      INDEX(CalcEngine!$1:$1048576,INDEX(_xlpm.hit,1),_xlpm.col),
      ""
    )
  )
)</f>
        <v>0</v>
      </c>
      <c r="I1" s="218" cm="1">
        <f t="array" ref="I1">IF(
  UPPER(TRIM(SUBSTITUTE(Enginuity!$A$1,CHAR(160)," ")))="VITALLY",
  IFERROR(
    _xlfn.LET(
      _xlpm.col,COLUMN(),
      _xlpm.r,ROW(CalcEngine!$A$61:$A$4819),
      _xlpm.hit,_xlfn._xlws.FILTER(
        _xlpm.r,
        (TRIM(CalcEngine!$A$61:$A$4819)=TRIM(Enginuity!$A$1))*
        (TRIM(CalcEngine!$C$61:$C$4819)=TRIM(Enginuity!$A$18))
      ),
      _xlpm.top,61+30*INT((INDEX(_xlpm.hit,1)-61)/30),
      INDEX(CalcEngine!$1:$1048576,_xlpm.top,_xlpm.col)
    ),
    ""
  ),
  _xlfn.LET(
    _xlpm.col,COLUMN(),
    _xlpm.r,ROW(CalcEngine!$A$61:$A$4819),
    _xlpm.hit,_xlfn._xlws.FILTER(
      _xlpm.r,
      (TRIM(CalcEngine!$A$61:$A$4819)=TRIM(Enginuity!$A$1))*
      (TRIM(CalcEngine!$C$61:$C$4819)=TRIM(Enginuity!$A$18))*
      (TRIM(CalcEngine!$B$61:$B$4819)="Install Only")*
      (TRIM(CalcEngine!$D$61:$D$4819)="N/A")
    ),
    IFERROR(
      INDEX(CalcEngine!$1:$1048576,INDEX(_xlpm.hit,1),_xlpm.col),
      ""
    )
  )
)</f>
        <v>0</v>
      </c>
      <c r="J1" s="218" cm="1">
        <f t="array" ref="J1">IF(UPPER(TRIM(SUBSTITUTE(Enginuity!$A$1,CHAR(160)," ")))="VITALLY",IF(TRIM(SUBSTITUTE(Enginuity!$A$18,CHAR(160)," "))="","",IFERROR(_xlfn.LET(_xlpm.selType,TRIM(SUBSTITUTE(Enginuity!$A$18,CHAR(160)," ")),_xlpm.vRows,_xlfn._xlws.FILTER(ROW(CalcEngine!$A$61:$A$4970),(UPPER(TRIM(SUBSTITUTE(CalcEngine!$A$61:$A$4970,CHAR(160)," ")))="VITALLY")*(TRIM(SUBSTITUTE(CalcEngine!$C$61:$C$4970,CHAR(160)," "))=_xlpm.selType)),_xlpm.vTops,_xlfn.UNIQUE(61+30*INT((_xlpm.vRows-61)/30)),_xlpm.vTop,IFERROR(INDEX(_xlfn._xlws.FILTER(_xlpm.vTops,TRIM(SUBSTITUTE(INDEX(CalcEngine!$C:$C,_xlpm.vTops),CHAR(160)," "))=_xlpm.selType),1),INDEX(_xlpm.vTops,1)),_xlpm.hdr,INDEX(CalcEngine!$J:$J,_xlpm.vTop),IF(OR(_xlpm.hdr="",_xlpm.hdr=0),"",_xlpm.hdr)),"")),_xlfn.LET(_xlpm.col,COLUMN(),_xlpm.r,ROW(CalcEngine!$A$61:$A$4819),_xlpm.hit,_xlfn._xlws.FILTER(_xlpm.r,(TRIM(CalcEngine!$A$61:$A$4819)=TRIM(Enginuity!$A$1))*(TRIM(CalcEngine!$C$61:$C$4819)=TRIM(Enginuity!$A$18))*(TRIM(CalcEngine!$B$61:$B$4819)="Install Only")*(TRIM(CalcEngine!$D$61:$D$4819)="N/A")),IFERROR(INDEX(CalcEngine!$1:$1048576,INDEX(_xlpm.hit,1),_xlpm.col),"")))</f>
        <v>0</v>
      </c>
      <c r="K1" s="218" cm="1">
        <f t="array" ref="K1">IF(
  UPPER(TRIM(SUBSTITUTE(Enginuity!$A$1,CHAR(160)," ")))="VITALLY",
  IFERROR(
    _xlfn.LET(
      _xlpm.col,COLUMN(),
      _xlpm.r,ROW(CalcEngine!$A$61:$A$4819),
      _xlpm.hit,_xlfn._xlws.FILTER(
        _xlpm.r,
        (TRIM(CalcEngine!$A$61:$A$4819)=TRIM(Enginuity!$A$1))*
        (TRIM(CalcEngine!$C$61:$C$4819)=TRIM(Enginuity!$A$18))
      ),
      _xlpm.top,61+30*INT((INDEX(_xlpm.hit,1)-61)/30),
      INDEX(CalcEngine!$1:$1048576,_xlpm.top,_xlpm.col)
    ),
    ""
  ),
  _xlfn.LET(
    _xlpm.col,COLUMN(),
    _xlpm.r,ROW(CalcEngine!$A$61:$A$4819),
    _xlpm.hit,_xlfn._xlws.FILTER(
      _xlpm.r,
      (TRIM(CalcEngine!$A$61:$A$4819)=TRIM(Enginuity!$A$1))*
      (TRIM(CalcEngine!$C$61:$C$4819)=TRIM(Enginuity!$A$18))*
      (TRIM(CalcEngine!$B$61:$B$4819)="Install Only")*
      (TRIM(CalcEngine!$D$61:$D$4819)="N/A")
    ),
    IFERROR(
      INDEX(CalcEngine!$1:$1048576,INDEX(_xlpm.hit,1),_xlpm.col),
      ""
    )
  )
)</f>
        <v>0</v>
      </c>
      <c r="L1" s="218" cm="1">
        <f t="array" ref="L1">IF(
  UPPER(TRIM(SUBSTITUTE(Enginuity!$A$1,CHAR(160)," ")))="VITALLY",
  IFERROR(
    _xlfn.LET(
      _xlpm.col,COLUMN(),
      _xlpm.r,ROW(CalcEngine!$A$61:$A$4819),
      _xlpm.hit,_xlfn._xlws.FILTER(
        _xlpm.r,
        (TRIM(CalcEngine!$A$61:$A$4819)=TRIM(Enginuity!$A$1))*
        (TRIM(CalcEngine!$C$61:$C$4819)=TRIM(Enginuity!$A$18))
      ),
      _xlpm.top,61+30*INT((INDEX(_xlpm.hit,1)-61)/30),
      INDEX(CalcEngine!$1:$1048576,_xlpm.top,_xlpm.col)
    ),
    ""
  ),
  _xlfn.LET(
    _xlpm.col,COLUMN(),
    _xlpm.r,ROW(CalcEngine!$A$61:$A$4819),
    _xlpm.hit,_xlfn._xlws.FILTER(
      _xlpm.r,
      (TRIM(CalcEngine!$A$61:$A$4819)=TRIM(Enginuity!$A$1))*
      (TRIM(CalcEngine!$C$61:$C$4819)=TRIM(Enginuity!$A$18))*
      (TRIM(CalcEngine!$B$61:$B$4819)="Install Only")*
      (TRIM(CalcEngine!$D$61:$D$4819)="N/A")
    ),
    IFERROR(
      INDEX(CalcEngine!$1:$1048576,INDEX(_xlpm.hit,1),_xlpm.col),
      ""
    )
  )
)</f>
        <v>0</v>
      </c>
    </row>
    <row r="2" spans="1:12">
      <c r="A2" t="str" cm="1">
        <f t="array" ref="A2:A5">_xlfn.LET(
  _xlpm.src,TRIM(SUBSTITUTE(CalcEngine!A64:A4819,CHAR(160),"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Alu. Glass Performance</v>
      </c>
      <c r="B2" t="str" cm="1">
        <f t="array" ref="B2:B5">IF(UPPER(TRIM(SUBSTITUTE(Enginuity!$A$1,CHAR(160)," ")))="VITALLY",IF(OR(TRIM(SUBSTITUTE(Enginuity!$A$18,CHAR(160)," "))="",TRIM(SUBSTITUTE(Enginuity!$B$18,CHAR(160)," "))=""),"",IFERROR(_xlfn.LET(_xlpm.selType,TRIM(SUBSTITUTE(Enginuity!$A$18,CHAR(160)," ")),_xlpm.vRows,_xlfn._xlws.FILTER(ROW(CalcEngine!$A$61:$A$4970),(UPPER(TRIM(SUBSTITUTE(CalcEngine!$A$61:$A$4970,CHAR(160)," ")))="VITALLY")*(TRIM(SUBSTITUTE(CalcEngine!$C$61:$C$4970,CHAR(160)," "))=_xlpm.selType)),_xlpm.vTops,_xlfn.UNIQUE(61+30*INT((_xlpm.vRows-61)/30)),_xlpm.vTop,IFERROR(INDEX(_xlfn._xlws.FILTER(_xlpm.vTops,TRIM(SUBSTITUTE(INDEX(CalcEngine!$C:$C,_xlpm.vTops),CHAR(160)," "))=_xlpm.selType),1),INDEX(_xlpm.vTops,1)),_xlpm.src,INDEX(CalcEngine!$B:$B,_xlpm.vTop):INDEX(CalcEngine!$B:$B,_xlpm.vTop+29),_xlpm.s,TRIM(SUBSTITUTE(_xlpm.src,CHAR(160)," ")),_xlfn.UNIQUE(_xlfn._xlws.FILTER(_xlpm.s,(_xlpm.s&lt;&gt;"")*(LEFT(_xlpm.s,3)&lt;&gt;"▼ [")))),"")),_xlfn.LET(_xlpm.src,CalcEngine!B61:B4819,_xlpm.s,TRIM(_xlpm.src),_xlpm.arr,_xlfn._xlws.FILTER(_xlpm.s,_xlpm.s&lt;&gt;""),_xlfn._xlws.SORT(_xlfn.UNIQUE(_xlpm.arr))))</f>
        <v>Install Only</v>
      </c>
      <c r="C2" t="str" cm="1">
        <f t="array" ref="C2:C7">_xlfn.LET(
_xlpm.sel,TRIM(SUBSTITUTE(Enginuity!$A$1,CHAR(160)," ")),
_xlpm.grp,TRIM(SUBSTITUTE(CalcEngine!A64:A4819,CHAR(160)," ")),
_xlpm.src,TRIM(SUBSTITUTE(CalcEngine!C64:C4819,CHAR(160),"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Multi-Point Conceal</v>
      </c>
      <c r="D2" t="str" cm="1">
        <f t="array" ref="D2:D5">IF(UPPER(TRIM(SUBSTITUTE(Enginuity!$A$1,CHAR(160)," ")))="VITALLY",IF(OR(TRIM(SUBSTITUTE(Enginuity!$A$18,CHAR(160)," "))="",TRIM(SUBSTITUTE(Enginuity!$B$18,CHAR(160)," "))=""),"",IFERROR(_xlfn.LET(_xlpm.selType,TRIM(SUBSTITUTE(Enginuity!$A$18,CHAR(160)," ")),_xlpm.scanRows,ROW(CalcEngine!$A$61:$A$4970),_xlpm.hitRows,_xlfn._xlws.FILTER(_xlpm.scanRows,(UPPER(TRIM(SUBSTITUTE(CalcEngine!$A$61:$A$4970,CHAR(160)," ")))="VITALLY")*(TRIM(SUBSTITUTE(CalcEngine!$C$61:$C$4970,CHAR(160)," "))=_xlpm.selType)),_xlpm.blockTops,_xlfn.UNIQUE(61+30*INT((_xlpm.hitRows-61)/30)),_xlpm.blockTop,INDEX(_xlfn._xlws.FILTER(_xlpm.blockTops,TRIM(SUBSTITUTE(INDEX(CalcEngine!$F:$F,_xlpm.blockTops),CHAR(160)," "))="▼ [Product Subtype]"),1),_xlpm.src,INDEX(CalcEngine!$D:$D,_xlpm.blockTop):INDEX(CalcEngine!$D:$D,_xlpm.blockTop+19),_xlfn.UNIQUE(_xlfn._xlws.FILTER(_xlpm.src,(TRIM(_xlpm.src)&lt;&gt;"")*(_xlpm.src&lt;&gt;0)))),"")),_xlfn.LET(_xlpm.legacyRaw,CalcEngine!$D$61:$D$4819,_xlpm.legacyClean,TRIM(SUBSTITUTE(_xlpm.legacyRaw,CHAR(160)," ")),_xlpm.legacyList,IFERROR(_xlfn.UNIQUE(_xlfn._xlws.FILTER(_xlpm.legacyClean,_xlpm.legacyClean&lt;&gt;"")),""),_xlpm.scanRows,ROW(CalcEngine!$A$61:$A$4970),_xlpm.grp,UPPER(TRIM(SUBSTITUTE(Enginuity!$A$1,CHAR(160)," "))),_xlpm.prd,UPPER(TRIM(SUBSTITUTE(Enginuity!$A$18,CHAR(160)," "))),_xlpm.srcA,UPPER(TRIM(SUBSTITUTE(CalcEngine!$A$61:$A$4970,CHAR(160)," "))),_xlpm.srcC,UPPER(TRIM(SUBSTITUTE(CalcEngine!$C$61:$C$4970,CHAR(160)," "))),_xlpm.srcF,UPPER(TRIM(SUBSTITUTE(CalcEngine!$F$61:$F$4970,CHAR(160)," "))),_xlpm.blockTop,IFERROR(_xlfn.XLOOKUP(1,(_xlpm.srcA=_xlpm.grp)*(_xlpm.srcC=_xlpm.prd)*(_xlpm.srcF="▼ [PRODUCT SUBTYPE]"),_xlpm.scanRows,""),""),_xlpm.blockRaw,IF(_xlpm.blockTop="","",INDEX(CalcEngine!$D:$D,_xlpm.blockTop):INDEX(CalcEngine!$D:$D,_xlpm.blockTop+29)),_xlpm.blockClean,IF(_xlpm.blockTop="","",TRIM(SUBSTITUTE(_xlpm.blockRaw,CHAR(160)," "))),_xlpm.blockList,IF(_xlpm.blockTop="","",IFERROR(_xlfn.UNIQUE(_xlfn._xlws.FILTER(_xlpm.blockClean,_xlpm.blockClean&lt;&gt;"")),"")),IF(_xlpm.blockTop="",_xlpm.legacyList,_xlpm.blockList)))</f>
        <v>N/A</v>
      </c>
      <c r="E2" t="str" cm="1">
        <f t="array" ref="E2:E5">IF(UPPER(TRIM(SUBSTITUTE(Enginuity!$A$1,CHAR(160)," ")))="VITALLY",IF(OR(TRIM(SUBSTITUTE(Enginuity!$A$18,CHAR(160)," "))="",TRIM(SUBSTITUTE(Enginuity!$B$18,CHAR(160)," "))=""),"",IFERROR(_xlfn.LET(_xlpm.selType,TRIM(SUBSTITUTE(Enginuity!$A$18,CHAR(160)," ")),_xlpm.scanRows,ROW(CalcEngine!$A$61:$A$4970),_xlpm.hitRows,_xlfn._xlws.FILTER(_xlpm.scanRows,(UPPER(TRIM(SUBSTITUTE(CalcEngine!$A$61:$A$4970,CHAR(160)," ")))="VITALLY")*(TRIM(SUBSTITUTE(CalcEngine!$C$61:$C$4970,CHAR(160)," "))=_xlpm.selType)),_xlpm.blockTops,_xlfn.UNIQUE(61+30*INT((_xlpm.hitRows-61)/30)),_xlpm.blockTop,IFERROR(INDEX(_xlfn._xlws.FILTER(_xlpm.blockTops,TRIM(SUBSTITUTE(INDEX(CalcEngine!$C:$C,_xlpm.blockTops),CHAR(160)," "))=_xlpm.selType),1),INDEX(_xlpm.blockTops,1)),_xlpm.src,INDEX(CalcEngine!$E:$E,_xlpm.blockTop):INDEX(CalcEngine!$E:$E,_xlpm.blockTop+19),_xlfn.UNIQUE(_xlfn._xlws.FILTER(_xlpm.src,(TRIM(_xlpm.src)&lt;&gt;"")*(_xlpm.src&lt;&gt;0)))),"")),_xlfn.LET(_xlpm.src,TRIM(CalcEngine!$E$61:$E$4819),_xlpm.vals,_xlfn.UNIQUE(_xlfn._xlws.FILTER(_xlpm.src,_xlpm.src&lt;&gt;"")),IFERROR(_xlfn.SORTBY(_xlpm.vals,--(UPPER(_xlpm.vals)&lt;&gt;"DEFAULT"),1,_xlpm.vals,1),"")))</f>
        <v>Default</v>
      </c>
      <c r="F2" t="str" cm="1">
        <f t="array" ref="F2:F11">IF(UPPER(TRIM(SUBSTITUTE(Enginuity!$A$1,CHAR(160)," ")))="VITALLY",IF(OR(TRIM(SUBSTITUTE(Enginuity!$A$18,CHAR(160)," "))="",TRIM(SUBSTITUTE(Enginuity!$B$18,CHAR(160)," "))=""),"",IFERROR(_xlfn.LET(_xlpm.selectedType,TRIM(SUBSTITUTE(Enginuity!$A$18,CHAR(160)," ")),_xlpm.vitRows,_xlfn._xlws.FILTER(ROW(CalcEngine!$A$61:$A$4970),(UPPER(TRIM(SUBSTITUTE(CalcEngine!$A$61:$A$4970,CHAR(160)," ")))="VITALLY")*(TRIM(SUBSTITUTE(CalcEngine!$C$61:$C$4970,CHAR(160)," "))=_xlpm.selectedType)),_xlpm.vitTops,_xlfn.UNIQUE(61+30*INT((_xlpm.vitRows-61)/30)),_xlpm.vitTop,INDEX(_xlfn._xlws.FILTER(_xlpm.vitTops,TRIM(SUBSTITUTE(INDEX(CalcEngine!$F:$F,_xlpm.vitTops),CHAR(160)," "))="▼ [Product Subtype]"),1),_xlpm.headerText,TRIM(SUBSTITUTE(INDEX(CalcEngine!$F:$F,_xlpm.vitTop+9),CHAR(160)," ")),_xlpm.optionRange,INDEX(CalcEngine!$F:$F,_xlpm.vitTop+10):INDEX(CalcEngine!$F:$F,_xlpm.vitTop+17),IF(_xlpm.headerText="","",_xlfn._xlws.FILTER(_xlpm.optionRange,TRIM(SUBSTITUTE(_xlpm.optionRange,CHAR(160)," "))&lt;&gt;""))),"")),IFERROR(_xlfn.LET(_xlpm.hitRows,_xlfn._xlws.FILTER(ROW(CalcEngine!$A$61:$A$4970),(TRIM(SUBSTITUTE(CalcEngine!$A$61:$A$4970,CHAR(160)," "))=TRIM(SUBSTITUTE(Enginuity!$A$1,CHAR(160)," ")))*(TRIM(SUBSTITUTE(CalcEngine!$C$61:$C$4970,CHAR(160)," "))=TRIM(SUBSTITUTE(Enginuity!$A$18,CHAR(160)," ")))*(TRIM(SUBSTITUTE(CalcEngine!$D$61:$D$4970,CHAR(160)," "))=TRIM(SUBSTITUTE(Enginuity!$A$19,CHAR(160)," ")))),_xlpm.hitRow,INDEX(_xlpm.hitRows,1),_xlpm.blockTop,61+30*INT((_xlpm.hitRow-61)/30),_xlpm.blockRange,INDEX(CalcEngine!$F:$F,_xlpm.blockTop):INDEX(CalcEngine!$F:$F,_xlpm.blockTop+29),_xlpm.cleanRange,TRIM(SUBSTITUTE(_xlpm.blockRange,CHAR(160)," ")),_xlpm.headerPos,IFERROR(MATCH("▼ [Insert]",_xlpm.cleanRange,0),MATCH("▼ [Lattice Option]",_xlpm.cleanRange,0)),_xlpm.optionCount,MIN(10,ROWS(_xlpm.blockRange)-_xlpm.headerPos),_xlpm.optionValues,INDEX(_xlpm.blockRange,_xlpm.headerPos+_xlfn.SEQUENCE(_xlpm.optionCount)),_xlfn._xlws.FILTER(_xlpm.optionValues,TRIM(SUBSTITUTE(_xlpm.optionValues,CHAR(160)," "))&lt;&gt;"")),""))</f>
        <v>08-Box Lattice</v>
      </c>
      <c r="G2" t="str" cm="1">
        <f t="array" ref="G2">IF(UPPER(TRIM(SUBSTITUTE(Enginuity!$A$21,CHAR(160)," ")))="SECURITY DOOR INSERT","",IFERROR(_xlfn.LET(_xlpm.grp,UPPER(TRIM(SUBSTITUTE(Enginuity!$A$1,CHAR(160)," "))),_xlpm.typ,UPPER(TRIM(SUBSTITUTE(Enginuity!$A$18,CHAR(160)," "))),_xlpm.r,ROW(CalcEngine!$A$61:$A$4970),_xlpm.a,UPPER(TRIM(SUBSTITUTE(CalcEngine!$A$61:$A$4970,CHAR(160)," "))),_xlpm.b,UPPER(TRIM(SUBSTITUTE(CalcEngine!$B$61:$B$4970,CHAR(160)," "))),_xlpm.c,UPPER(TRIM(SUBSTITUTE(CalcEngine!$C$61:$C$4970,CHAR(160)," "))),_xlpm.d,UPPER(TRIM(SUBSTITUTE(CalcEngine!$D$61:$D$4970,CHAR(160)," "))),_xlpm.hit,IF(_xlpm.grp="VITALLY",_xlfn._xlws.FILTER(_xlpm.r,(_xlpm.a="VITALLY")*(_xlpm.c=_xlpm.typ)),_xlfn._xlws.FILTER(_xlpm.r,(_xlpm.a=_xlpm.grp)*(_xlpm.c=_xlpm.typ)*(_xlpm.b="INSTALL ONLY")*(_xlpm.d="N/A"))),_xlpm.top,61+30*INT((INDEX(_xlpm.hit,1)-61)/30),_xlpm.hdr,TRIM(SUBSTITUTE(INDEX(CalcEngine!$G:$G,_xlpm.top),CHAR(160)," ")),_xlpm.src,INDEX(CalcEngine!$G:$G,_xlpm.top+1):INDEX(CalcEngine!$G:$G,_xlpm.top+29),_xlpm.clean,TRIM(SUBSTITUTE(_xlpm.src,CHAR(160)," ")),_xlpm.used,TRIM(SUBSTITUTE(Enginuity!$A$21,CHAR(160)," ")),IF(OR(_xlpm.hdr="",_xlpm.hdr="0"),"",_xlfn.UNIQUE(_xlfn._xlws.FILTER(_xlpm.clean,(_xlpm.clean&lt;&gt;"")*(_xlpm.clean&lt;&gt;"0")*(_xlpm.clean&lt;&gt;_xlpm.used))))),""))</f>
        <v/>
      </c>
      <c r="H2" t="str" cm="1">
        <f t="array" ref="H2">IF(UPPER(TRIM(SUBSTITUTE(Enginuity!$A$1,CHAR(160)," ")))="VITALLY",IFERROR(_xlfn.LET(_xlpm.col,COLUMN(),_xlpm.r,ROW(CalcEngine!$A$61:$A$4970),_xlpm.hit,_xlfn._xlws.FILTER(_xlpm.r,(UPPER(TRIM(SUBSTITUTE(CalcEngine!$A$61:$A$4970,CHAR(160)," ")))="VITALLY")*(TRIM(SUBSTITUTE(CalcEngine!$C$61:$C$4970,CHAR(160)," "))=TRIM(SUBSTITUTE(Enginuity!$A$18,CHAR(160)," ")))),_xlpm.top,61+30*INT((INDEX(_xlpm.hit,1)-61)/30),_xlpm.src,INDEX(CalcEngine!$1:$1048576,_xlpm.top+1,_xlpm.col):INDEX(CalcEngine!$1:$1048576,_xlpm.top+29,_xlpm.col),_xlfn.UNIQUE(_xlfn._xlws.FILTER(_xlpm.src,TRIM(_xlpm.src)&lt;&gt;""))),""),_xlfn.LET(_xlpm.col,COLUMN(),_xlpm.r,ROW(CalcEngine!$A$61:$A$4819),_xlpm.hit,_xlfn._xlws.FILTER(_xlpm.r,(TRIM(CalcEngine!$A$61:$A$4819)=TRIM(Enginuity!$A$1))*(TRIM(CalcEngine!$C$61:$C$4819)=TRIM(Enginuity!$A$18))*(TRIM(CalcEngine!$B$61:$B$4819)="Install Only")*(TRIM(CalcEngine!$D$61:$D$4819)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)</f>
        <v/>
      </c>
      <c r="I2" t="str" cm="1">
        <f t="array" ref="I2">IF(UPPER(TRIM(SUBSTITUTE(Enginuity!$A$1,CHAR(160)," ")))="VITALLY",IFERROR(_xlfn.LET(_xlpm.col,COLUMN(),_xlpm.r,ROW(CalcEngine!$A$61:$A$4970),_xlpm.hit,_xlfn._xlws.FILTER(_xlpm.r,(UPPER(TRIM(SUBSTITUTE(CalcEngine!$A$61:$A$4970,CHAR(160)," ")))="VITALLY")*(TRIM(SUBSTITUTE(CalcEngine!$C$61:$C$4970,CHAR(160)," "))=TRIM(SUBSTITUTE(Enginuity!$A$18,CHAR(160)," ")))),_xlpm.top,61+30*INT((INDEX(_xlpm.hit,1)-61)/30),_xlpm.src,INDEX(CalcEngine!$1:$1048576,_xlpm.top+1,_xlpm.col):INDEX(CalcEngine!$1:$1048576,_xlpm.top+29,_xlpm.col),_xlfn.UNIQUE(_xlfn._xlws.FILTER(_xlpm.src,TRIM(_xlpm.src)&lt;&gt;""))),""),_xlfn.LET(_xlpm.col,COLUMN(),_xlpm.r,ROW(CalcEngine!$A$61:$A$4819),_xlpm.hit,_xlfn._xlws.FILTER(_xlpm.r,(TRIM(CalcEngine!$A$61:$A$4819)=TRIM(Enginuity!$A$1))*(TRIM(CalcEngine!$C$61:$C$4819)=TRIM(Enginuity!$A$18))*(TRIM(CalcEngine!$B$61:$B$4819)="Install Only")*(TRIM(CalcEngine!$D$61:$D$4819)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)</f>
        <v/>
      </c>
      <c r="J2" t="str" cm="1">
        <f t="array" ref="J2">IF(UPPER(TRIM(SUBSTITUTE(Enginuity!$A$1,CHAR(160)," ")))="VITALLY",IF(TRIM(SUBSTITUTE(Enginuity!$A$18,CHAR(160)," "))="","",IFERROR(_xlfn.LET(_xlpm.selType,TRIM(SUBSTITUTE(Enginuity!$A$18,CHAR(160)," ")),_xlpm.vRows,_xlfn._xlws.FILTER(ROW(CalcEngine!$A$61:$A$4970),(UPPER(TRIM(SUBSTITUTE(CalcEngine!$A$61:$A$4970,CHAR(160)," ")))="VITALLY")*(TRIM(SUBSTITUTE(CalcEngine!$C$61:$C$4970,CHAR(160)," "))=_xlpm.selType)),_xlpm.vTops,_xlfn.UNIQUE(61+30*INT((_xlpm.vRows-61)/30)),_xlpm.vTop,IFERROR(INDEX(_xlfn._xlws.FILTER(_xlpm.vTops,TRIM(SUBSTITUTE(INDEX(CalcEngine!$C:$C,_xlpm.vTops),CHAR(160)," "))=_xlpm.selType),1),INDEX(_xlpm.vTops,1)),_xlpm.src,INDEX(CalcEngine!$J:$J,_xlpm.vTop+1):INDEX(CalcEngine!$J:$J,_xlpm.vTop+29),_xlfn._xlws.FILTER(_xlpm.src,(TRIM(_xlpm.src)&lt;&gt;"")*(_xlpm.src&lt;&gt;0))),"")),_xlfn.LET(_xlpm.col,COLUMN(),_xlpm.r,ROW(CalcEngine!$A$61:$A$4819),_xlpm.hit,_xlfn._xlws.FILTER(_xlpm.r,(TRIM(CalcEngine!$A$61:$A$4819)=TRIM(Enginuity!$A$1))*(TRIM(CalcEngine!$C$61:$C$4819)=TRIM(Enginuity!$A$18))*(TRIM(CalcEngine!$B$61:$B$4819)="Install Only")*(TRIM(CalcEngine!$D$61:$D$4819)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)</f>
        <v/>
      </c>
      <c r="K2" t="str" cm="1">
        <f t="array" ref="K2">IF(UPPER(TRIM(SUBSTITUTE(Enginuity!$A$1,CHAR(160)," ")))="VITALLY",IFERROR(_xlfn.LET(_xlpm.col,COLUMN(),_xlpm.r,ROW(CalcEngine!$A$61:$A$4970),_xlpm.hit,_xlfn._xlws.FILTER(_xlpm.r,(UPPER(TRIM(SUBSTITUTE(CalcEngine!$A$61:$A$4970,CHAR(160)," ")))="VITALLY")*(TRIM(SUBSTITUTE(CalcEngine!$C$61:$C$4970,CHAR(160)," "))=TRIM(SUBSTITUTE(Enginuity!$A$18,CHAR(160)," ")))),_xlpm.top,61+30*INT((INDEX(_xlpm.hit,1)-61)/30),_xlpm.src,INDEX(CalcEngine!$1:$1048576,_xlpm.top+1,_xlpm.col):INDEX(CalcEngine!$1:$1048576,_xlpm.top+29,_xlpm.col),_xlfn.UNIQUE(_xlfn._xlws.FILTER(_xlpm.src,TRIM(_xlpm.src)&lt;&gt;""))),""),_xlfn.LET(_xlpm.col,COLUMN(),_xlpm.r,ROW(CalcEngine!$A$61:$A$4819),_xlpm.hit,_xlfn._xlws.FILTER(_xlpm.r,(TRIM(CalcEngine!$A$61:$A$4819)=TRIM(Enginuity!$A$1))*(TRIM(CalcEngine!$C$61:$C$4819)=TRIM(Enginuity!$A$18))*(TRIM(CalcEngine!$B$61:$B$4819)="Install Only")*(TRIM(CalcEngine!$D$61:$D$4819)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)</f>
        <v/>
      </c>
      <c r="L2" t="str" cm="1">
        <f t="array" ref="L2">IF(
  UPPER(TRIM(SUBSTITUTE(Enginuity!$A$1,CHAR(160)," ")))="VITALLY",
  IFERROR(
    _xlfn.LET(
      _xlpm.col,COLUMN(),
      _xlpm.src,INDEX(CalcEngine!$1:$1048576,122,_xlpm.col):INDEX(CalcEngine!$1:$1048576,129,_xlpm.col),
      _xlfn._xlws.FILTER(_xlpm.src,TRIM(_xlpm.src)&lt;&gt;"")
    ),
    ""
  ),
  _xlfn.LET(
    _xlpm.col,COLUMN(),
    _xlpm.r,ROW(CalcEngine!$A$61:$A$4819),
    _xlpm.hit,_xlfn._xlws.FILTER(
      _xlpm.r,
      (TRIM(CalcEngine!$A$61:$A$4819)=TRIM(Enginuity!$A$1))*
      (TRIM(CalcEngine!$C$61:$C$4819)=TRIM(Enginuity!$A$18))*
      (TRIM(CalcEngine!$B$61:$B$4819)="Install Only")*
      (TRIM(CalcEngine!$D$61:$D$4819)="N/A")
    ),
    _xlpm.top,IFERROR(INDEX(_xlpm.hit,1),0),
    _xlpm.src,IF(
      _xlpm.top=0,
      "",
      INDEX(CalcEngine!$1:$1048576,_xlpm.top+1,_xlpm.col):
      INDEX(CalcEngine!$1:$1048576,_xlpm.top+29,_xlpm.col)
    ),
    IF(
      _xlpm.top=0,
      "",
      IFERROR(_xlfn.UNIQUE(_xlfn._xlws.FILTER(_xlpm.src,TRIM(_xlpm.src)&lt;&gt;"")),"")
    )
  )
)</f>
        <v/>
      </c>
    </row>
    <row r="3" spans="1:12">
      <c r="A3" t="str">
        <v>Alu. Glass Premium Series</v>
      </c>
      <c r="B3" t="str">
        <v>Supply &amp; Delivery</v>
      </c>
      <c r="C3" t="str">
        <v>Casement Window Multi-Point Exposed</v>
      </c>
      <c r="D3" t="str">
        <v>P/C</v>
      </c>
      <c r="E3" t="str">
        <v>Black Aluminium Mesh 1.6mm</v>
      </c>
      <c r="F3" t="str">
        <v>12-Box Lattice</v>
      </c>
    </row>
    <row r="4" spans="1:12">
      <c r="A4" t="str">
        <v>Alu. Glass Standard</v>
      </c>
      <c r="B4" t="str">
        <v>Supply &amp; Install</v>
      </c>
      <c r="C4" t="str">
        <v>Folding Door Conceal</v>
      </c>
      <c r="D4" t="str">
        <v>M/B</v>
      </c>
      <c r="E4" t="str">
        <v>Black Aluminium Mesh 1.8mm</v>
      </c>
      <c r="F4" t="str">
        <v>24-Box Lattice</v>
      </c>
    </row>
    <row r="5" spans="1:12">
      <c r="A5" t="str">
        <v>Vitally</v>
      </c>
      <c r="B5" t="str">
        <v>Supply Only</v>
      </c>
      <c r="C5" t="str">
        <v>Folding Door Exposed</v>
      </c>
      <c r="D5" t="str">
        <v>W/G</v>
      </c>
      <c r="E5" t="str">
        <v>Black Stainless Steel Mesh 1.0mm</v>
      </c>
      <c r="F5" t="str">
        <v>Breezway 102mm Glass Infill</v>
      </c>
    </row>
    <row r="6" spans="1:12">
      <c r="C6" t="str">
        <v>Sliding Door Performance</v>
      </c>
      <c r="F6" t="str">
        <v>Breezway 102mm NA / WH / BK / MF</v>
      </c>
    </row>
    <row r="7" spans="1:12">
      <c r="C7" t="str">
        <v>Sliding Window Performance</v>
      </c>
      <c r="F7" t="str">
        <v>Breezway 102mm WG</v>
      </c>
    </row>
    <row r="8" spans="1:12">
      <c r="F8" t="str">
        <v>Breezway 152mm Glass Infill</v>
      </c>
    </row>
    <row r="9" spans="1:12">
      <c r="F9" t="str">
        <v>Breezway 152mm NA / WH / BK / MF</v>
      </c>
    </row>
    <row r="10" spans="1:12">
      <c r="F10" t="str">
        <v>Breezway 152mm WG</v>
      </c>
    </row>
    <row r="11" spans="1:12">
      <c r="F11" t="str">
        <v>Security Door Insert</v>
      </c>
    </row>
    <row r="31" spans="2:2">
      <c r="B31" s="367"/>
    </row>
    <row r="41" spans="2:2">
      <c r="B41" s="367" t="str" cm="1">
        <f t="array" ref="B41">IF(SUMPRODUCT(--(LEN(B42:B80)&gt;0))&gt;0,"▼ [Product Subtype]","")</f>
        <v/>
      </c>
    </row>
    <row r="42" spans="2:2">
      <c r="B42" t="str" cm="1">
        <f t="array" ref="B42">IF(
TRIM(SUBSTITUTE(Enginuity!$A$1,CHAR(160)," "))="Vitally",
IFERROR(_xlfn.LET(
_xlpm.vRows,_xlfn._xlws.FILTER(
ROW(CalcEngine!$A$61:$A$4970),
(TRIM(SUBSTITUTE(CalcEngine!$A$61:$A$4970,CHAR(160)," "))="Vitally")*
(TRIM(SUBSTITUTE(CalcEngine!$C$61:$C$4970,CHAR(160)," "))=TRIM(SUBSTITUTE(Enginuity!$A$18,CHAR(160)," ")))
),
_xlpm.vTops,_xlfn.UNIQUE(61+30*INT((_xlpm.vRows-61)/30)),
_xlpm.vTop,INDEX(
_xlfn._xlws.FILTER(
_xlpm.vTops,
TRIM(INDEX(CalcEngine!$F:$F,_xlpm.vTops))="▼ [Product Subtype]"
),
1
),
_xlpm.vSeg,INDEX(CalcEngine!$F:$F,_xlpm.vTop+1):INDEX(CalcEngine!$F:$F,_xlpm.vTop+8),
_xlfn._xlws.FILTER(
_xlpm.vSeg,
(TRIM(_xlpm.vSeg)&lt;&gt;"")*
(LEFT(TRIM(_xlpm.vSeg),3)&lt;&gt;"▼ [")
)
),""),
IFERROR(_xlfn.LET(
_xlpm.vRows,_xlfn._xlws.FILTER(
ROW(CalcEngine!$A$61:$A$4970),
(TRIM(CalcEngine!$A$61:$A$4970)=TRIM(Enginuity!$A$1))*
(TRIM(CalcEngine!$C$61:$C$4970)=TRIM(Enginuity!$A$18))*
(TRIM(CalcEngine!$D$61:$D$4970)=TRIM(Enginuity!$A$19))
),
_xlpm.vTops,_xlfn.UNIQUE(61+30*INT((_xlpm.vRows-61)/30)),
_xlpm.vTop,INDEX(
_xlfn._xlws.FILTER(
_xlpm.vTops,
TRIM(INDEX(CalcEngine!$F:$F,_xlpm.vTops))="▼ [Product Subtype]"
),
1
),
_xlpm.vSeg,INDEX(CalcEngine!$F:$F,_xlpm.vTop+1):INDEX(CalcEngine!$F:$F,_xlpm.vTop+9),
_xlfn._xlws.FILTER(_xlpm.vSeg,TRIM(_xlpm.vSeg)&lt;&gt;"")
),"")
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Y384"/>
  <sheetViews>
    <sheetView zoomScale="75" zoomScaleNormal="75" workbookViewId="0">
      <selection activeCell="H357" sqref="H357"/>
    </sheetView>
  </sheetViews>
  <sheetFormatPr defaultRowHeight="15"/>
  <cols>
    <col min="1" max="1" width="24.85546875" style="367" bestFit="1" customWidth="1"/>
    <col min="2" max="2" width="65.42578125" style="367" bestFit="1" customWidth="1"/>
    <col min="3" max="3" width="16.7109375" style="367" bestFit="1" customWidth="1"/>
    <col min="4" max="4" width="20" style="367" bestFit="1" customWidth="1"/>
    <col min="5" max="6" width="16.5703125" style="367" bestFit="1" customWidth="1"/>
    <col min="7" max="7" width="37.7109375" style="367" bestFit="1" customWidth="1"/>
    <col min="8" max="8" width="44.7109375" style="26" bestFit="1" customWidth="1"/>
    <col min="9" max="9" width="54.5703125" style="367" bestFit="1" customWidth="1"/>
    <col min="10" max="10" width="17.28515625" style="367" bestFit="1" customWidth="1"/>
    <col min="11" max="11" width="10.42578125" style="367" bestFit="1" customWidth="1"/>
    <col min="12" max="12" width="17.28515625" style="367" bestFit="1" customWidth="1"/>
    <col min="13" max="13" width="11.7109375" style="367" bestFit="1" customWidth="1"/>
    <col min="14" max="14" width="17.28515625" style="367" bestFit="1" customWidth="1"/>
    <col min="15" max="15" width="7.42578125" style="367" bestFit="1" customWidth="1"/>
    <col min="16" max="16" width="20" style="367" bestFit="1" customWidth="1"/>
    <col min="17" max="17" width="5.42578125" style="367" bestFit="1" customWidth="1"/>
    <col min="18" max="18" width="8" style="367" bestFit="1" customWidth="1"/>
    <col min="19" max="19" width="5.85546875" style="1" bestFit="1" customWidth="1"/>
    <col min="20" max="21" width="5.7109375" style="367" bestFit="1" customWidth="1"/>
    <col min="22" max="22" width="8.140625" style="367" bestFit="1" customWidth="1"/>
    <col min="23" max="23" width="10" style="416" customWidth="1"/>
    <col min="24" max="16384" width="9.140625" style="367"/>
  </cols>
  <sheetData>
    <row r="1" spans="1:23">
      <c r="A1" s="367" t="s">
        <v>2228</v>
      </c>
      <c r="B1" s="367" t="s">
        <v>0</v>
      </c>
      <c r="C1" s="367" t="s">
        <v>102</v>
      </c>
      <c r="D1" s="367" t="s">
        <v>2229</v>
      </c>
      <c r="E1" s="367" t="s">
        <v>2230</v>
      </c>
      <c r="G1" s="367" t="s">
        <v>2228</v>
      </c>
      <c r="H1" s="26" t="s">
        <v>0</v>
      </c>
      <c r="I1" s="367" t="s">
        <v>102</v>
      </c>
      <c r="J1" s="367" t="s">
        <v>2229</v>
      </c>
      <c r="K1" s="367" t="s">
        <v>2230</v>
      </c>
      <c r="M1" s="367" t="s">
        <v>2228</v>
      </c>
      <c r="N1" s="367" t="s">
        <v>0</v>
      </c>
      <c r="O1" s="367" t="s">
        <v>102</v>
      </c>
      <c r="P1" s="367" t="s">
        <v>2229</v>
      </c>
      <c r="Q1" s="367" t="s">
        <v>2230</v>
      </c>
      <c r="S1" s="367"/>
      <c r="W1" s="367"/>
    </row>
    <row r="2" spans="1:23">
      <c r="A2" s="367" t="s">
        <v>2231</v>
      </c>
      <c r="B2" s="367" t="s">
        <v>2232</v>
      </c>
      <c r="C2" s="367" t="s">
        <v>121</v>
      </c>
      <c r="E2" s="367">
        <v>26.25</v>
      </c>
      <c r="G2" s="367" t="s">
        <v>2266</v>
      </c>
      <c r="H2" s="26" t="s">
        <v>2267</v>
      </c>
      <c r="I2" s="367" t="s">
        <v>121</v>
      </c>
      <c r="K2" s="367">
        <v>24.15</v>
      </c>
      <c r="M2" s="367" t="s">
        <v>2281</v>
      </c>
      <c r="N2" s="367" t="s">
        <v>2282</v>
      </c>
      <c r="O2" s="367" t="s">
        <v>2283</v>
      </c>
      <c r="Q2" s="367">
        <v>3.15</v>
      </c>
    </row>
    <row r="3" spans="1:23">
      <c r="A3" s="367" t="s">
        <v>2233</v>
      </c>
      <c r="B3" s="367" t="s">
        <v>2234</v>
      </c>
      <c r="C3" s="367" t="s">
        <v>121</v>
      </c>
      <c r="E3" s="367">
        <v>26.25</v>
      </c>
      <c r="G3" s="367" t="s">
        <v>2268</v>
      </c>
      <c r="H3" s="26" t="s">
        <v>2269</v>
      </c>
      <c r="I3" s="367" t="s">
        <v>121</v>
      </c>
      <c r="K3" s="367">
        <v>18.899999999999999</v>
      </c>
      <c r="M3" s="367" t="s">
        <v>2284</v>
      </c>
      <c r="N3" s="367" t="s">
        <v>2285</v>
      </c>
      <c r="O3" s="367" t="s">
        <v>176</v>
      </c>
      <c r="Q3" s="367">
        <v>40</v>
      </c>
    </row>
    <row r="4" spans="1:23">
      <c r="A4" s="367" t="s">
        <v>2235</v>
      </c>
      <c r="B4" s="367" t="s">
        <v>2236</v>
      </c>
      <c r="C4" s="367" t="s">
        <v>121</v>
      </c>
      <c r="E4" s="367">
        <v>34.65</v>
      </c>
      <c r="G4" s="367" t="s">
        <v>2270</v>
      </c>
      <c r="H4" s="26" t="s">
        <v>2271</v>
      </c>
      <c r="I4" s="367" t="s">
        <v>121</v>
      </c>
      <c r="K4" s="367">
        <v>46.2</v>
      </c>
      <c r="M4" s="367" t="s">
        <v>2286</v>
      </c>
      <c r="N4" s="367" t="s">
        <v>2287</v>
      </c>
      <c r="O4" s="367" t="s">
        <v>2262</v>
      </c>
      <c r="Q4" s="367">
        <v>65</v>
      </c>
    </row>
    <row r="5" spans="1:23">
      <c r="A5" s="367" t="s">
        <v>2237</v>
      </c>
      <c r="B5" s="367" t="s">
        <v>2238</v>
      </c>
      <c r="C5" s="367" t="s">
        <v>121</v>
      </c>
      <c r="E5" s="367">
        <v>17.12</v>
      </c>
      <c r="G5" s="367" t="s">
        <v>2272</v>
      </c>
      <c r="H5" s="26" t="s">
        <v>300</v>
      </c>
      <c r="I5" s="367" t="s">
        <v>2273</v>
      </c>
      <c r="K5" s="367">
        <v>26.25</v>
      </c>
    </row>
    <row r="6" spans="1:23">
      <c r="A6" s="367" t="s">
        <v>2239</v>
      </c>
      <c r="B6" s="367" t="s">
        <v>2240</v>
      </c>
      <c r="C6" s="367" t="s">
        <v>121</v>
      </c>
      <c r="E6" s="367">
        <v>23.63</v>
      </c>
      <c r="G6" s="367" t="s">
        <v>2274</v>
      </c>
      <c r="H6" s="26" t="s">
        <v>2275</v>
      </c>
      <c r="I6" s="367" t="s">
        <v>2273</v>
      </c>
      <c r="K6" s="367">
        <v>12.6</v>
      </c>
    </row>
    <row r="7" spans="1:23">
      <c r="A7" s="367" t="s">
        <v>2241</v>
      </c>
      <c r="B7" s="367" t="s">
        <v>2242</v>
      </c>
      <c r="C7" s="367" t="s">
        <v>121</v>
      </c>
      <c r="E7" s="367">
        <v>25.73</v>
      </c>
      <c r="G7" s="367" t="s">
        <v>2276</v>
      </c>
      <c r="H7" s="26" t="s">
        <v>441</v>
      </c>
      <c r="I7" s="367" t="s">
        <v>2273</v>
      </c>
      <c r="K7" s="367">
        <v>26.25</v>
      </c>
    </row>
    <row r="8" spans="1:23">
      <c r="A8" s="367" t="s">
        <v>2243</v>
      </c>
      <c r="B8" s="367" t="s">
        <v>2244</v>
      </c>
      <c r="C8" s="367" t="s">
        <v>121</v>
      </c>
      <c r="E8" s="367">
        <v>27.3</v>
      </c>
      <c r="G8" s="367" t="s">
        <v>2277</v>
      </c>
      <c r="H8" s="26" t="s">
        <v>2278</v>
      </c>
      <c r="I8" s="367" t="s">
        <v>2273</v>
      </c>
      <c r="K8" s="367">
        <v>0</v>
      </c>
    </row>
    <row r="9" spans="1:23">
      <c r="A9" s="367" t="s">
        <v>2245</v>
      </c>
      <c r="B9" s="367" t="s">
        <v>2246</v>
      </c>
      <c r="C9" s="367" t="s">
        <v>121</v>
      </c>
      <c r="E9" s="367">
        <v>27.83</v>
      </c>
      <c r="G9" s="367" t="s">
        <v>2279</v>
      </c>
      <c r="H9" s="26" t="s">
        <v>2280</v>
      </c>
      <c r="I9" s="367" t="s">
        <v>176</v>
      </c>
    </row>
    <row r="10" spans="1:23">
      <c r="A10" s="367" t="s">
        <v>2247</v>
      </c>
      <c r="B10" s="367" t="s">
        <v>2248</v>
      </c>
      <c r="C10" s="367" t="s">
        <v>121</v>
      </c>
      <c r="E10" s="367">
        <v>27.83</v>
      </c>
    </row>
    <row r="11" spans="1:23">
      <c r="A11" s="367" t="s">
        <v>2249</v>
      </c>
      <c r="B11" s="367" t="s">
        <v>2250</v>
      </c>
      <c r="C11" s="367" t="s">
        <v>121</v>
      </c>
      <c r="E11" s="367">
        <v>29.93</v>
      </c>
    </row>
    <row r="12" spans="1:23">
      <c r="A12" s="367" t="s">
        <v>2251</v>
      </c>
      <c r="B12" s="367" t="s">
        <v>2252</v>
      </c>
      <c r="C12" s="367" t="s">
        <v>121</v>
      </c>
      <c r="E12" s="367">
        <v>32.03</v>
      </c>
    </row>
    <row r="13" spans="1:23">
      <c r="A13" s="367" t="s">
        <v>2253</v>
      </c>
      <c r="B13" s="367" t="s">
        <v>2254</v>
      </c>
      <c r="C13" s="367" t="s">
        <v>121</v>
      </c>
      <c r="E13" s="367">
        <v>33.08</v>
      </c>
    </row>
    <row r="14" spans="1:23">
      <c r="A14" s="367" t="s">
        <v>2255</v>
      </c>
      <c r="B14" s="367" t="s">
        <v>2256</v>
      </c>
      <c r="C14" s="367" t="s">
        <v>121</v>
      </c>
      <c r="E14" s="367">
        <v>4.2</v>
      </c>
    </row>
    <row r="15" spans="1:23">
      <c r="A15" s="424" t="s">
        <v>2257</v>
      </c>
      <c r="B15" s="367" t="s">
        <v>2258</v>
      </c>
      <c r="C15" s="367" t="s">
        <v>121</v>
      </c>
      <c r="E15" s="367">
        <v>4.7300000000000004</v>
      </c>
    </row>
    <row r="16" spans="1:23">
      <c r="A16" s="424" t="s">
        <v>2259</v>
      </c>
      <c r="B16" s="367" t="s">
        <v>389</v>
      </c>
      <c r="C16" s="367" t="s">
        <v>176</v>
      </c>
      <c r="E16" s="367">
        <v>50</v>
      </c>
    </row>
    <row r="17" spans="1:25">
      <c r="A17" s="424" t="s">
        <v>2260</v>
      </c>
      <c r="B17" s="367" t="s">
        <v>2261</v>
      </c>
      <c r="C17" s="367" t="s">
        <v>2262</v>
      </c>
      <c r="E17" s="367">
        <v>65</v>
      </c>
    </row>
    <row r="18" spans="1:25">
      <c r="A18" s="424" t="s">
        <v>2266</v>
      </c>
      <c r="B18" s="367" t="s">
        <v>2267</v>
      </c>
      <c r="C18" s="367" t="s">
        <v>121</v>
      </c>
      <c r="E18" s="367">
        <v>24.15</v>
      </c>
    </row>
    <row r="19" spans="1:25">
      <c r="A19" s="424" t="s">
        <v>2268</v>
      </c>
      <c r="B19" s="367" t="s">
        <v>2269</v>
      </c>
      <c r="C19" s="367" t="s">
        <v>121</v>
      </c>
      <c r="E19" s="367">
        <v>18.899999999999999</v>
      </c>
    </row>
    <row r="20" spans="1:25">
      <c r="A20" s="424" t="s">
        <v>2270</v>
      </c>
      <c r="B20" s="367" t="s">
        <v>2271</v>
      </c>
      <c r="C20" s="367" t="s">
        <v>121</v>
      </c>
      <c r="E20" s="367">
        <v>46.2</v>
      </c>
    </row>
    <row r="21" spans="1:25">
      <c r="A21" s="424"/>
    </row>
    <row r="22" spans="1:25" s="425" customFormat="1">
      <c r="A22" s="425" t="str">
        <f>"▼ [Service Mode]"</f>
        <v>▼ [Service Mode]</v>
      </c>
      <c r="B22" s="425" t="s">
        <v>2223</v>
      </c>
      <c r="C22" s="425" t="str">
        <f>"▼ [Product Type]"</f>
        <v>▼ [Product Type]</v>
      </c>
      <c r="D22" s="425" t="str">
        <f>"▼ [Product Subtype]"</f>
        <v>▼ [Product Subtype]</v>
      </c>
      <c r="E22" s="425" t="s">
        <v>2219</v>
      </c>
      <c r="F22" s="425" t="s">
        <v>2198</v>
      </c>
      <c r="G22" s="425" t="s">
        <v>327</v>
      </c>
      <c r="H22" s="425" t="str">
        <f>"▼ [Frame Finish]"</f>
        <v>▼ [Frame Finish]</v>
      </c>
      <c r="I22" s="425" t="str">
        <f>"▼ [Panel / Infill]"</f>
        <v>▼ [Panel / Infill]</v>
      </c>
      <c r="J22" s="427" t="s">
        <v>2222</v>
      </c>
      <c r="K22" s="425" t="s">
        <v>762</v>
      </c>
      <c r="L22" s="425" t="s">
        <v>2221</v>
      </c>
      <c r="M22" s="425" t="s">
        <v>381</v>
      </c>
      <c r="N22" s="425" t="s">
        <v>2218</v>
      </c>
      <c r="O22" s="425" t="s">
        <v>2227</v>
      </c>
      <c r="P22" s="425" t="s">
        <v>2224</v>
      </c>
      <c r="Q22" s="425" t="s">
        <v>2225</v>
      </c>
      <c r="R22" s="425" t="s">
        <v>2226</v>
      </c>
      <c r="Y22" s="426"/>
    </row>
    <row r="23" spans="1:25">
      <c r="A23" s="367" t="s">
        <v>1841</v>
      </c>
      <c r="B23" s="367">
        <v>0</v>
      </c>
      <c r="C23" t="s">
        <v>2217</v>
      </c>
      <c r="D23" t="s">
        <v>2200</v>
      </c>
      <c r="E23" s="367">
        <v>252</v>
      </c>
      <c r="F23" s="405">
        <v>0.171594</v>
      </c>
      <c r="G23" s="367">
        <v>762</v>
      </c>
      <c r="H23" s="367" t="s">
        <v>2216</v>
      </c>
      <c r="I23" t="s">
        <v>2206</v>
      </c>
      <c r="J23" s="26">
        <v>5.25</v>
      </c>
      <c r="K23" s="367" t="s">
        <v>2079</v>
      </c>
      <c r="L23" s="367">
        <v>52.5</v>
      </c>
      <c r="M23" s="367">
        <v>10.5</v>
      </c>
      <c r="N23" s="367">
        <v>10.5</v>
      </c>
      <c r="O23" s="367">
        <v>17.850000000000001</v>
      </c>
      <c r="P23" t="s">
        <v>377</v>
      </c>
      <c r="Q23" s="367">
        <v>84</v>
      </c>
      <c r="R23" s="367">
        <v>73.5</v>
      </c>
      <c r="S23" s="367"/>
      <c r="U23" s="1"/>
      <c r="W23" s="367"/>
      <c r="Y23" s="416"/>
    </row>
    <row r="24" spans="1:25">
      <c r="A24" s="367" t="s">
        <v>383</v>
      </c>
      <c r="B24" s="367">
        <v>25</v>
      </c>
      <c r="C24"/>
      <c r="D24" t="s">
        <v>2199</v>
      </c>
      <c r="E24" s="367">
        <v>262.5</v>
      </c>
      <c r="F24" s="405">
        <v>0.26055600000000001</v>
      </c>
      <c r="G24" s="367">
        <v>762</v>
      </c>
      <c r="H24" s="367"/>
      <c r="I24" t="s">
        <v>2208</v>
      </c>
      <c r="J24" s="26">
        <v>15.75</v>
      </c>
      <c r="K24" s="367" t="s">
        <v>2080</v>
      </c>
      <c r="L24" s="367">
        <v>157.5</v>
      </c>
      <c r="P24" t="s">
        <v>378</v>
      </c>
      <c r="Q24" s="367">
        <v>126</v>
      </c>
      <c r="S24" s="367"/>
      <c r="U24" s="1"/>
      <c r="W24" s="367"/>
      <c r="Y24" s="416"/>
    </row>
    <row r="25" spans="1:25">
      <c r="A25" s="367" t="s">
        <v>382</v>
      </c>
      <c r="B25" s="367">
        <v>65</v>
      </c>
      <c r="C25"/>
      <c r="H25" s="367"/>
      <c r="I25" t="s">
        <v>2209</v>
      </c>
      <c r="J25" s="26">
        <v>26.25</v>
      </c>
      <c r="P25" t="s">
        <v>379</v>
      </c>
      <c r="Q25" s="367">
        <v>210</v>
      </c>
      <c r="S25" s="367"/>
      <c r="U25" s="1"/>
      <c r="W25" s="367"/>
      <c r="Y25" s="416"/>
    </row>
    <row r="26" spans="1:25">
      <c r="C26"/>
      <c r="H26" s="367"/>
      <c r="I26" t="s">
        <v>2210</v>
      </c>
      <c r="J26" s="26">
        <v>36.75</v>
      </c>
    </row>
    <row r="27" spans="1:25">
      <c r="C27"/>
      <c r="H27" s="367"/>
      <c r="I27" t="s">
        <v>2211</v>
      </c>
      <c r="J27" s="26">
        <v>36.75</v>
      </c>
    </row>
    <row r="28" spans="1:25">
      <c r="C28"/>
      <c r="H28" s="367"/>
      <c r="I28" t="s">
        <v>706</v>
      </c>
      <c r="J28" s="26">
        <v>57.75</v>
      </c>
    </row>
    <row r="29" spans="1:25">
      <c r="C29"/>
      <c r="H29" s="367"/>
      <c r="I29" t="s">
        <v>2212</v>
      </c>
      <c r="J29" s="26">
        <v>78.75</v>
      </c>
    </row>
    <row r="30" spans="1:25">
      <c r="H30" s="367"/>
      <c r="I30" t="s">
        <v>708</v>
      </c>
      <c r="J30" s="26">
        <v>120.75</v>
      </c>
    </row>
    <row r="31" spans="1:25">
      <c r="H31" s="367"/>
      <c r="I31" t="s">
        <v>2207</v>
      </c>
      <c r="J31" s="26">
        <v>336</v>
      </c>
    </row>
    <row r="32" spans="1:25">
      <c r="D32" s="218" t="s">
        <v>2201</v>
      </c>
      <c r="E32" s="425">
        <v>288.75</v>
      </c>
      <c r="F32" s="420">
        <v>0.22795599999999999</v>
      </c>
      <c r="G32" s="1">
        <v>762</v>
      </c>
      <c r="H32" s="425"/>
      <c r="I32" s="218" t="s">
        <v>2206</v>
      </c>
      <c r="J32" s="427">
        <v>31.5</v>
      </c>
    </row>
    <row r="33" spans="1:22">
      <c r="C33"/>
      <c r="D33" s="425"/>
      <c r="E33" s="425"/>
      <c r="H33" s="425"/>
      <c r="I33" s="425" t="s">
        <v>2208</v>
      </c>
      <c r="J33" s="427">
        <v>42</v>
      </c>
    </row>
    <row r="34" spans="1:22">
      <c r="C34"/>
      <c r="D34" s="425"/>
      <c r="E34" s="425"/>
      <c r="H34" s="425"/>
      <c r="I34" s="24" t="s">
        <v>2209</v>
      </c>
      <c r="J34" s="427">
        <v>52.5</v>
      </c>
      <c r="S34" s="367"/>
      <c r="V34" s="416"/>
    </row>
    <row r="35" spans="1:22">
      <c r="D35" s="425"/>
      <c r="E35" s="425"/>
      <c r="H35" s="425"/>
      <c r="I35" s="24" t="s">
        <v>2210</v>
      </c>
      <c r="J35" s="427">
        <v>63</v>
      </c>
      <c r="S35" s="367"/>
      <c r="V35" s="416"/>
    </row>
    <row r="36" spans="1:22">
      <c r="A36" s="424"/>
      <c r="D36" s="425"/>
      <c r="E36" s="425"/>
      <c r="H36" s="425"/>
      <c r="I36" s="425" t="s">
        <v>2211</v>
      </c>
      <c r="J36" s="427">
        <v>63</v>
      </c>
    </row>
    <row r="37" spans="1:22">
      <c r="A37" s="424"/>
      <c r="D37" s="425"/>
      <c r="E37" s="425"/>
      <c r="H37" s="425"/>
      <c r="I37" s="425" t="s">
        <v>706</v>
      </c>
      <c r="J37" s="427">
        <v>84</v>
      </c>
    </row>
    <row r="38" spans="1:22">
      <c r="A38" s="424"/>
      <c r="D38" s="425"/>
      <c r="E38" s="425"/>
      <c r="H38" s="425"/>
      <c r="I38" s="425" t="s">
        <v>2212</v>
      </c>
      <c r="J38" s="427">
        <v>105</v>
      </c>
    </row>
    <row r="39" spans="1:22">
      <c r="A39" s="424"/>
      <c r="D39" s="425"/>
      <c r="E39" s="425"/>
      <c r="H39" s="425"/>
      <c r="I39" s="425" t="s">
        <v>708</v>
      </c>
      <c r="J39" s="427">
        <v>147</v>
      </c>
    </row>
    <row r="40" spans="1:22">
      <c r="A40" s="424"/>
      <c r="D40" s="425"/>
      <c r="E40" s="425"/>
      <c r="H40" s="425"/>
      <c r="I40" s="425" t="s">
        <v>2207</v>
      </c>
      <c r="J40" s="427">
        <v>372.75</v>
      </c>
    </row>
    <row r="41" spans="1:22">
      <c r="A41" s="424"/>
      <c r="D41" t="s">
        <v>2202</v>
      </c>
      <c r="E41" s="367">
        <v>320.25</v>
      </c>
      <c r="F41" s="420">
        <v>0.286028</v>
      </c>
      <c r="G41" s="1">
        <v>762</v>
      </c>
      <c r="H41" s="367"/>
      <c r="I41" s="367" t="s">
        <v>2206</v>
      </c>
      <c r="J41" s="26">
        <v>21</v>
      </c>
    </row>
    <row r="42" spans="1:22">
      <c r="A42" s="424"/>
      <c r="D42" t="s">
        <v>2203</v>
      </c>
      <c r="E42" s="367">
        <v>357</v>
      </c>
      <c r="F42" s="420">
        <v>0.286028</v>
      </c>
      <c r="G42" s="1">
        <v>762</v>
      </c>
      <c r="H42" s="367"/>
      <c r="I42" s="367" t="s">
        <v>2208</v>
      </c>
      <c r="J42" s="26">
        <v>31.5</v>
      </c>
    </row>
    <row r="43" spans="1:22">
      <c r="H43" s="367"/>
      <c r="I43" s="367" t="s">
        <v>2209</v>
      </c>
      <c r="J43" s="26">
        <v>42</v>
      </c>
    </row>
    <row r="44" spans="1:22">
      <c r="H44" s="367"/>
      <c r="I44" s="367" t="s">
        <v>2210</v>
      </c>
      <c r="J44" s="26">
        <v>52.5</v>
      </c>
    </row>
    <row r="45" spans="1:22">
      <c r="H45" s="367"/>
      <c r="I45" s="367" t="s">
        <v>2211</v>
      </c>
      <c r="J45" s="26">
        <v>52.5</v>
      </c>
    </row>
    <row r="46" spans="1:22">
      <c r="H46" s="367"/>
      <c r="I46" s="367" t="s">
        <v>706</v>
      </c>
      <c r="J46" s="26">
        <v>73.5</v>
      </c>
    </row>
    <row r="47" spans="1:22">
      <c r="H47" s="367"/>
      <c r="I47" s="367" t="s">
        <v>2212</v>
      </c>
      <c r="J47" s="26">
        <v>94.5</v>
      </c>
    </row>
    <row r="48" spans="1:22">
      <c r="H48" s="367"/>
      <c r="I48" s="367" t="s">
        <v>708</v>
      </c>
      <c r="J48" s="26">
        <v>136.5</v>
      </c>
    </row>
    <row r="49" spans="1:18">
      <c r="H49" s="367"/>
      <c r="I49" s="367" t="s">
        <v>2207</v>
      </c>
      <c r="J49" s="26">
        <v>357</v>
      </c>
    </row>
    <row r="50" spans="1:18">
      <c r="A50" s="367" t="s">
        <v>1841</v>
      </c>
      <c r="B50" s="367">
        <v>0</v>
      </c>
      <c r="D50" s="218" t="s">
        <v>2204</v>
      </c>
      <c r="E50" s="425">
        <v>383.25</v>
      </c>
      <c r="F50" s="420">
        <v>0.28156700000000001</v>
      </c>
      <c r="G50" s="1">
        <v>762</v>
      </c>
      <c r="H50" s="425" t="s">
        <v>2220</v>
      </c>
      <c r="I50" s="425" t="s">
        <v>2206</v>
      </c>
      <c r="J50" s="427">
        <v>36.75</v>
      </c>
      <c r="P50" s="367" t="s">
        <v>377</v>
      </c>
      <c r="Q50" s="367">
        <v>126</v>
      </c>
    </row>
    <row r="51" spans="1:18">
      <c r="A51" s="367" t="s">
        <v>383</v>
      </c>
      <c r="B51" s="367">
        <v>25</v>
      </c>
      <c r="D51" s="218" t="s">
        <v>2205</v>
      </c>
      <c r="E51" s="425">
        <v>425.25</v>
      </c>
      <c r="F51" s="420">
        <v>0.28156700000000001</v>
      </c>
      <c r="G51" s="1">
        <v>762</v>
      </c>
      <c r="H51" s="425"/>
      <c r="I51" s="425" t="s">
        <v>2208</v>
      </c>
      <c r="J51" s="427">
        <v>47.25</v>
      </c>
      <c r="P51" s="367" t="s">
        <v>378</v>
      </c>
      <c r="Q51" s="367">
        <v>168</v>
      </c>
    </row>
    <row r="52" spans="1:18">
      <c r="A52" s="367" t="s">
        <v>382</v>
      </c>
      <c r="B52" s="367">
        <v>65</v>
      </c>
      <c r="D52" s="425"/>
      <c r="E52" s="425"/>
      <c r="H52" s="425"/>
      <c r="I52" s="425" t="s">
        <v>2213</v>
      </c>
      <c r="J52" s="427">
        <v>57.75</v>
      </c>
      <c r="P52" s="367" t="s">
        <v>379</v>
      </c>
      <c r="Q52" s="367">
        <v>273</v>
      </c>
    </row>
    <row r="53" spans="1:18">
      <c r="D53" s="425"/>
      <c r="E53" s="425"/>
      <c r="H53" s="425"/>
      <c r="I53" s="425" t="s">
        <v>2210</v>
      </c>
      <c r="J53" s="427">
        <v>68.25</v>
      </c>
    </row>
    <row r="54" spans="1:18">
      <c r="D54" s="425"/>
      <c r="E54" s="425"/>
      <c r="H54" s="425"/>
      <c r="I54" s="425" t="s">
        <v>2214</v>
      </c>
      <c r="J54" s="427">
        <v>68.25</v>
      </c>
    </row>
    <row r="55" spans="1:18">
      <c r="D55" s="425"/>
      <c r="E55" s="425"/>
      <c r="H55" s="425"/>
      <c r="I55" s="425" t="s">
        <v>706</v>
      </c>
      <c r="J55" s="427">
        <v>89.25</v>
      </c>
    </row>
    <row r="56" spans="1:18">
      <c r="D56" s="425"/>
      <c r="E56" s="425"/>
      <c r="H56" s="425"/>
      <c r="I56" s="425" t="s">
        <v>2212</v>
      </c>
      <c r="J56" s="427">
        <v>110.25</v>
      </c>
    </row>
    <row r="57" spans="1:18">
      <c r="D57" s="425"/>
      <c r="E57" s="425"/>
      <c r="H57" s="425"/>
      <c r="I57" s="425" t="s">
        <v>2215</v>
      </c>
      <c r="J57" s="427">
        <v>152.25</v>
      </c>
    </row>
    <row r="58" spans="1:18">
      <c r="D58" s="425"/>
      <c r="E58" s="425"/>
      <c r="H58" s="425"/>
      <c r="I58" s="425" t="s">
        <v>2207</v>
      </c>
      <c r="J58" s="427">
        <v>414.75</v>
      </c>
    </row>
    <row r="59" spans="1:18">
      <c r="A59" s="367" t="s">
        <v>1841</v>
      </c>
      <c r="B59" s="367">
        <v>0</v>
      </c>
      <c r="C59" s="367" t="s">
        <v>324</v>
      </c>
      <c r="D59" s="367" t="s">
        <v>443</v>
      </c>
      <c r="E59" s="367">
        <v>241.5</v>
      </c>
      <c r="F59" s="405">
        <v>0.30059999999999998</v>
      </c>
      <c r="G59" s="367">
        <v>863.6</v>
      </c>
      <c r="H59" s="26" t="s">
        <v>2263</v>
      </c>
      <c r="I59" s="367" t="s">
        <v>2213</v>
      </c>
      <c r="J59" s="367">
        <v>26.25</v>
      </c>
      <c r="K59" s="367" t="s">
        <v>2079</v>
      </c>
      <c r="L59" s="367">
        <v>52.5</v>
      </c>
      <c r="M59" s="367" t="s">
        <v>441</v>
      </c>
      <c r="P59" s="367" t="s">
        <v>377</v>
      </c>
      <c r="Q59" s="367">
        <v>84</v>
      </c>
      <c r="R59" s="367">
        <v>84</v>
      </c>
    </row>
    <row r="60" spans="1:18">
      <c r="A60" s="367" t="s">
        <v>383</v>
      </c>
      <c r="B60" s="367">
        <v>25</v>
      </c>
      <c r="I60" s="367" t="s">
        <v>2264</v>
      </c>
      <c r="J60" s="367">
        <v>52.5</v>
      </c>
      <c r="K60" s="367" t="s">
        <v>2080</v>
      </c>
      <c r="L60" s="367">
        <v>157.5</v>
      </c>
      <c r="M60" s="367">
        <v>26.25</v>
      </c>
      <c r="P60" s="367" t="s">
        <v>378</v>
      </c>
      <c r="Q60" s="367">
        <v>126</v>
      </c>
    </row>
    <row r="61" spans="1:18">
      <c r="A61" s="367" t="s">
        <v>382</v>
      </c>
      <c r="B61" s="367">
        <v>68</v>
      </c>
      <c r="I61" s="367" t="s">
        <v>2214</v>
      </c>
      <c r="J61" s="367">
        <v>52.5</v>
      </c>
      <c r="P61" s="367" t="s">
        <v>379</v>
      </c>
      <c r="Q61" s="367">
        <v>210</v>
      </c>
    </row>
    <row r="62" spans="1:18">
      <c r="I62" s="367" t="s">
        <v>2265</v>
      </c>
      <c r="J62" s="367">
        <v>94.5</v>
      </c>
    </row>
    <row r="63" spans="1:18">
      <c r="I63" s="367" t="s">
        <v>2210</v>
      </c>
      <c r="J63" s="367">
        <v>105</v>
      </c>
    </row>
    <row r="64" spans="1:18">
      <c r="I64" s="367" t="s">
        <v>2212</v>
      </c>
      <c r="J64" s="367">
        <v>115.5</v>
      </c>
    </row>
    <row r="65" spans="1:18">
      <c r="I65" s="367" t="s">
        <v>706</v>
      </c>
      <c r="J65" s="367">
        <v>136.5</v>
      </c>
    </row>
    <row r="66" spans="1:18">
      <c r="I66" s="367" t="s">
        <v>2215</v>
      </c>
      <c r="J66" s="367">
        <v>136.5</v>
      </c>
    </row>
    <row r="67" spans="1:18">
      <c r="I67" s="367" t="s">
        <v>2207</v>
      </c>
      <c r="J67" s="367">
        <v>409.5</v>
      </c>
    </row>
    <row r="68" spans="1:18">
      <c r="A68" s="367" t="s">
        <v>1841</v>
      </c>
      <c r="B68" s="367">
        <v>0</v>
      </c>
      <c r="C68" s="367" t="s">
        <v>14</v>
      </c>
      <c r="D68" s="367" t="s">
        <v>444</v>
      </c>
      <c r="E68" s="367">
        <v>131.25</v>
      </c>
      <c r="F68" s="405">
        <v>0.215</v>
      </c>
      <c r="G68" s="367">
        <v>863.6</v>
      </c>
      <c r="H68" s="26" t="s">
        <v>2263</v>
      </c>
    </row>
    <row r="69" spans="1:18">
      <c r="A69" s="367" t="s">
        <v>383</v>
      </c>
      <c r="B69" s="367">
        <v>25</v>
      </c>
    </row>
    <row r="70" spans="1:18">
      <c r="A70" s="367" t="s">
        <v>382</v>
      </c>
      <c r="B70" s="367">
        <v>40</v>
      </c>
    </row>
    <row r="71" spans="1:18">
      <c r="A71" s="367" t="s">
        <v>1841</v>
      </c>
      <c r="B71" s="367">
        <v>0</v>
      </c>
      <c r="C71" s="367" t="s">
        <v>457</v>
      </c>
      <c r="D71" s="367" t="s">
        <v>458</v>
      </c>
      <c r="E71" s="367">
        <v>383.25</v>
      </c>
      <c r="F71" s="405">
        <v>0.35720000000000002</v>
      </c>
      <c r="G71" s="367">
        <v>914.4</v>
      </c>
      <c r="H71" s="26" t="s">
        <v>2216</v>
      </c>
      <c r="I71" s="367" t="s">
        <v>2206</v>
      </c>
      <c r="J71" s="367">
        <v>63</v>
      </c>
      <c r="K71" s="367" t="s">
        <v>2079</v>
      </c>
      <c r="L71" s="367">
        <v>52.5</v>
      </c>
      <c r="P71" s="367" t="s">
        <v>377</v>
      </c>
      <c r="Q71" s="367">
        <v>84</v>
      </c>
      <c r="R71" s="367">
        <v>73.5</v>
      </c>
    </row>
    <row r="72" spans="1:18">
      <c r="A72" s="367" t="s">
        <v>382</v>
      </c>
      <c r="B72" s="367">
        <v>88</v>
      </c>
      <c r="F72" s="405"/>
      <c r="I72" s="367" t="s">
        <v>2208</v>
      </c>
      <c r="J72" s="367">
        <v>73.5</v>
      </c>
      <c r="K72" s="367" t="s">
        <v>2080</v>
      </c>
      <c r="L72" s="367">
        <v>157.5</v>
      </c>
      <c r="P72" s="367" t="s">
        <v>378</v>
      </c>
      <c r="Q72" s="367">
        <v>126</v>
      </c>
    </row>
    <row r="73" spans="1:18">
      <c r="I73" s="367" t="s">
        <v>2213</v>
      </c>
      <c r="J73" s="367">
        <v>94.5</v>
      </c>
      <c r="P73" s="367" t="s">
        <v>379</v>
      </c>
      <c r="Q73" s="367">
        <v>210</v>
      </c>
    </row>
    <row r="74" spans="1:18">
      <c r="I74" s="367" t="s">
        <v>2210</v>
      </c>
      <c r="J74" s="367">
        <v>105</v>
      </c>
    </row>
    <row r="75" spans="1:18">
      <c r="I75" s="367" t="s">
        <v>2214</v>
      </c>
      <c r="J75" s="367">
        <v>105</v>
      </c>
    </row>
    <row r="76" spans="1:18">
      <c r="I76" s="367" t="s">
        <v>706</v>
      </c>
      <c r="J76" s="367">
        <v>136.5</v>
      </c>
    </row>
    <row r="77" spans="1:18">
      <c r="I77" s="367" t="s">
        <v>2212</v>
      </c>
      <c r="J77" s="367">
        <v>157.5</v>
      </c>
    </row>
    <row r="78" spans="1:18">
      <c r="I78" s="367" t="s">
        <v>2215</v>
      </c>
      <c r="J78" s="367">
        <v>189</v>
      </c>
    </row>
    <row r="79" spans="1:18">
      <c r="I79" s="367" t="s">
        <v>2207</v>
      </c>
      <c r="J79" s="367">
        <v>393.75</v>
      </c>
    </row>
    <row r="80" spans="1:18">
      <c r="I80" s="367" t="s">
        <v>2207</v>
      </c>
      <c r="J80" s="367">
        <v>393.75</v>
      </c>
      <c r="R80" s="367" t="s">
        <v>2307</v>
      </c>
    </row>
    <row r="101" spans="1:23">
      <c r="A101" s="367" t="s">
        <v>2228</v>
      </c>
      <c r="B101" s="367" t="s">
        <v>0</v>
      </c>
      <c r="C101" s="367" t="s">
        <v>102</v>
      </c>
      <c r="D101" s="367" t="s">
        <v>2229</v>
      </c>
      <c r="E101" s="367" t="s">
        <v>2230</v>
      </c>
      <c r="G101" s="367" t="s">
        <v>2228</v>
      </c>
      <c r="H101" s="26" t="s">
        <v>0</v>
      </c>
      <c r="I101" s="367" t="s">
        <v>102</v>
      </c>
      <c r="J101" s="367" t="s">
        <v>2229</v>
      </c>
      <c r="K101" s="367" t="s">
        <v>2230</v>
      </c>
      <c r="M101" s="367" t="s">
        <v>2228</v>
      </c>
      <c r="N101" s="367" t="s">
        <v>0</v>
      </c>
      <c r="O101" s="367" t="s">
        <v>102</v>
      </c>
      <c r="P101" s="367" t="s">
        <v>2229</v>
      </c>
      <c r="Q101" s="367" t="s">
        <v>2230</v>
      </c>
      <c r="S101" s="1" t="s">
        <v>2228</v>
      </c>
      <c r="T101" s="367" t="s">
        <v>0</v>
      </c>
      <c r="U101" s="367" t="s">
        <v>102</v>
      </c>
      <c r="V101" s="367" t="s">
        <v>2229</v>
      </c>
      <c r="W101" s="416" t="s">
        <v>2230</v>
      </c>
    </row>
    <row r="122" spans="1:18">
      <c r="A122" s="367" t="s">
        <v>2288</v>
      </c>
      <c r="B122" s="367" t="s">
        <v>2223</v>
      </c>
      <c r="C122" s="367" t="s">
        <v>2289</v>
      </c>
      <c r="D122" s="367" t="s">
        <v>2290</v>
      </c>
      <c r="E122" s="367" t="s">
        <v>2219</v>
      </c>
      <c r="F122" s="367" t="s">
        <v>2198</v>
      </c>
      <c r="G122" s="367" t="s">
        <v>327</v>
      </c>
      <c r="H122" s="26" t="s">
        <v>2293</v>
      </c>
      <c r="I122" s="367" t="s">
        <v>2294</v>
      </c>
      <c r="J122" s="367" t="s">
        <v>2222</v>
      </c>
      <c r="K122" s="367" t="s">
        <v>762</v>
      </c>
      <c r="L122" s="367" t="s">
        <v>2221</v>
      </c>
      <c r="M122" s="367" t="s">
        <v>2295</v>
      </c>
      <c r="N122" s="367" t="s">
        <v>2308</v>
      </c>
      <c r="O122" s="367" t="s">
        <v>2291</v>
      </c>
      <c r="P122" s="367" t="s">
        <v>2292</v>
      </c>
      <c r="Q122" s="367" t="s">
        <v>2296</v>
      </c>
      <c r="R122" s="367" t="s">
        <v>2297</v>
      </c>
    </row>
    <row r="123" spans="1:18">
      <c r="A123" s="367" t="s">
        <v>1841</v>
      </c>
      <c r="B123" s="367">
        <v>0</v>
      </c>
      <c r="C123" s="367" t="s">
        <v>331</v>
      </c>
      <c r="D123" s="367" t="s">
        <v>2298</v>
      </c>
      <c r="F123" s="367">
        <v>0.24453800000000001</v>
      </c>
      <c r="G123" s="367">
        <v>609.6</v>
      </c>
      <c r="H123" s="26" t="s">
        <v>2306</v>
      </c>
      <c r="R123" s="367" t="s">
        <v>2299</v>
      </c>
    </row>
    <row r="124" spans="1:18">
      <c r="A124" s="367" t="s">
        <v>382</v>
      </c>
      <c r="B124" s="367">
        <v>70</v>
      </c>
    </row>
    <row r="125" spans="1:18">
      <c r="M125" s="367" t="s">
        <v>2295</v>
      </c>
      <c r="N125" s="367">
        <v>31.5</v>
      </c>
    </row>
    <row r="127" spans="1:18">
      <c r="I127" s="367" t="s">
        <v>703</v>
      </c>
      <c r="J127" s="367">
        <v>421.05</v>
      </c>
      <c r="O127" s="367">
        <v>72</v>
      </c>
      <c r="P127" s="367">
        <v>36</v>
      </c>
    </row>
    <row r="128" spans="1:18">
      <c r="J128" s="367">
        <v>445.2</v>
      </c>
      <c r="P128" s="367">
        <v>42</v>
      </c>
    </row>
    <row r="129" spans="9:16">
      <c r="J129" s="367">
        <v>468.3</v>
      </c>
      <c r="P129" s="367">
        <v>48</v>
      </c>
    </row>
    <row r="130" spans="9:16">
      <c r="J130" s="367">
        <v>515.54999999999995</v>
      </c>
      <c r="P130" s="367">
        <v>54</v>
      </c>
    </row>
    <row r="131" spans="9:16">
      <c r="J131" s="367">
        <v>539.70000000000005</v>
      </c>
      <c r="P131" s="367">
        <v>60</v>
      </c>
    </row>
    <row r="132" spans="9:16">
      <c r="J132" s="367">
        <v>585.9</v>
      </c>
      <c r="P132" s="367">
        <v>66</v>
      </c>
    </row>
    <row r="133" spans="9:16">
      <c r="J133" s="367">
        <v>610.04999999999995</v>
      </c>
      <c r="P133" s="367">
        <v>72</v>
      </c>
    </row>
    <row r="134" spans="9:16">
      <c r="I134" s="367" t="s">
        <v>2300</v>
      </c>
      <c r="J134" s="367">
        <v>513.45000000000005</v>
      </c>
      <c r="P134" s="367">
        <v>36</v>
      </c>
    </row>
    <row r="135" spans="9:16">
      <c r="J135" s="367">
        <v>542.85</v>
      </c>
      <c r="P135" s="367">
        <v>42</v>
      </c>
    </row>
    <row r="136" spans="9:16">
      <c r="J136" s="367">
        <v>571.20000000000005</v>
      </c>
      <c r="P136" s="367">
        <v>48</v>
      </c>
    </row>
    <row r="137" spans="9:16">
      <c r="J137" s="367">
        <v>627.9</v>
      </c>
      <c r="P137" s="367">
        <v>54</v>
      </c>
    </row>
    <row r="138" spans="9:16">
      <c r="J138" s="367">
        <v>657.3</v>
      </c>
      <c r="P138" s="367">
        <v>60</v>
      </c>
    </row>
    <row r="139" spans="9:16">
      <c r="I139" s="367" t="s">
        <v>704</v>
      </c>
      <c r="J139" s="367">
        <v>513.45000000000005</v>
      </c>
      <c r="P139" s="367">
        <v>36</v>
      </c>
    </row>
    <row r="140" spans="9:16">
      <c r="J140" s="367">
        <v>542.85</v>
      </c>
      <c r="P140" s="367">
        <v>42</v>
      </c>
    </row>
    <row r="141" spans="9:16">
      <c r="J141" s="367">
        <v>571.20000000000005</v>
      </c>
      <c r="P141" s="367">
        <v>48</v>
      </c>
    </row>
    <row r="142" spans="9:16">
      <c r="J142" s="367">
        <v>627.9</v>
      </c>
      <c r="P142" s="367">
        <v>54</v>
      </c>
    </row>
    <row r="143" spans="9:16">
      <c r="J143" s="367">
        <v>657.3</v>
      </c>
      <c r="P143" s="367">
        <v>60</v>
      </c>
    </row>
    <row r="144" spans="9:16">
      <c r="J144" s="367">
        <v>715.05</v>
      </c>
      <c r="P144" s="367">
        <v>66</v>
      </c>
    </row>
    <row r="145" spans="9:16">
      <c r="J145" s="367">
        <v>742.35</v>
      </c>
      <c r="P145" s="367">
        <v>72</v>
      </c>
    </row>
    <row r="146" spans="9:16">
      <c r="I146" s="367" t="s">
        <v>708</v>
      </c>
      <c r="J146" s="367">
        <v>513.45000000000005</v>
      </c>
      <c r="P146" s="367">
        <v>36</v>
      </c>
    </row>
    <row r="147" spans="9:16">
      <c r="J147" s="367">
        <v>542.85</v>
      </c>
      <c r="P147" s="367">
        <v>42</v>
      </c>
    </row>
    <row r="148" spans="9:16">
      <c r="J148" s="367">
        <v>571.20000000000005</v>
      </c>
      <c r="P148" s="367">
        <v>48</v>
      </c>
    </row>
    <row r="149" spans="9:16">
      <c r="J149" s="367">
        <v>627.9</v>
      </c>
      <c r="P149" s="367">
        <v>54</v>
      </c>
    </row>
    <row r="150" spans="9:16">
      <c r="J150" s="367">
        <v>657.3</v>
      </c>
      <c r="P150" s="367">
        <v>60</v>
      </c>
    </row>
    <row r="151" spans="9:16">
      <c r="I151" s="367" t="s">
        <v>706</v>
      </c>
      <c r="J151" s="367">
        <v>552.29999999999995</v>
      </c>
      <c r="P151" s="367">
        <v>36</v>
      </c>
    </row>
    <row r="152" spans="9:16">
      <c r="J152" s="367">
        <v>582.75</v>
      </c>
      <c r="P152" s="367">
        <v>42</v>
      </c>
    </row>
    <row r="153" spans="9:16">
      <c r="J153" s="367">
        <v>613.20000000000005</v>
      </c>
      <c r="P153" s="367">
        <v>48</v>
      </c>
    </row>
    <row r="154" spans="9:16">
      <c r="J154" s="367">
        <v>675.15</v>
      </c>
      <c r="P154" s="367">
        <v>54</v>
      </c>
    </row>
    <row r="155" spans="9:16">
      <c r="J155" s="367">
        <v>706.65</v>
      </c>
      <c r="P155" s="367">
        <v>60</v>
      </c>
    </row>
    <row r="156" spans="9:16">
      <c r="J156" s="367">
        <v>767.55</v>
      </c>
      <c r="P156" s="367">
        <v>66</v>
      </c>
    </row>
    <row r="157" spans="9:16">
      <c r="J157" s="367">
        <v>798</v>
      </c>
      <c r="P157" s="367">
        <v>72</v>
      </c>
    </row>
    <row r="158" spans="9:16">
      <c r="I158" s="367" t="s">
        <v>705</v>
      </c>
      <c r="J158" s="367">
        <v>591.15</v>
      </c>
      <c r="P158" s="367">
        <v>36</v>
      </c>
    </row>
    <row r="159" spans="9:16">
      <c r="J159" s="367">
        <v>632.1</v>
      </c>
      <c r="P159" s="367">
        <v>42</v>
      </c>
    </row>
    <row r="160" spans="9:16">
      <c r="J160" s="367">
        <v>674.1</v>
      </c>
      <c r="P160" s="367">
        <v>48</v>
      </c>
    </row>
    <row r="161" spans="5:16">
      <c r="J161" s="367">
        <v>743.4</v>
      </c>
      <c r="P161" s="367">
        <v>54</v>
      </c>
    </row>
    <row r="162" spans="5:16">
      <c r="J162" s="367">
        <v>785.4</v>
      </c>
      <c r="P162" s="367">
        <v>60</v>
      </c>
    </row>
    <row r="163" spans="5:16">
      <c r="J163" s="367">
        <v>855.75</v>
      </c>
      <c r="P163" s="367">
        <v>66</v>
      </c>
    </row>
    <row r="164" spans="5:16">
      <c r="J164" s="367">
        <v>896.7</v>
      </c>
      <c r="P164" s="367">
        <v>72</v>
      </c>
    </row>
    <row r="165" spans="5:16">
      <c r="I165" s="367" t="s">
        <v>707</v>
      </c>
      <c r="J165" s="367">
        <v>628.95000000000005</v>
      </c>
      <c r="P165" s="367">
        <v>36</v>
      </c>
    </row>
    <row r="166" spans="5:16">
      <c r="J166" s="367">
        <v>673.05</v>
      </c>
      <c r="P166" s="367">
        <v>42</v>
      </c>
    </row>
    <row r="167" spans="5:16">
      <c r="J167" s="367">
        <v>716.1</v>
      </c>
      <c r="P167" s="367">
        <v>48</v>
      </c>
    </row>
    <row r="168" spans="5:16">
      <c r="J168" s="367">
        <v>790.65</v>
      </c>
      <c r="P168" s="367">
        <v>54</v>
      </c>
    </row>
    <row r="169" spans="5:16">
      <c r="J169" s="367">
        <v>834.75</v>
      </c>
      <c r="P169" s="367">
        <v>60</v>
      </c>
    </row>
    <row r="170" spans="5:16">
      <c r="J170" s="367">
        <v>908.25</v>
      </c>
      <c r="P170" s="367">
        <v>66</v>
      </c>
    </row>
    <row r="171" spans="5:16">
      <c r="J171" s="367">
        <v>952.35</v>
      </c>
      <c r="P171" s="367">
        <v>72</v>
      </c>
    </row>
    <row r="172" spans="5:16">
      <c r="E172" s="367">
        <v>298.2</v>
      </c>
      <c r="I172" s="367" t="s">
        <v>2301</v>
      </c>
      <c r="P172" s="367">
        <v>36</v>
      </c>
    </row>
    <row r="173" spans="5:16">
      <c r="J173" s="367">
        <v>307.64999999999998</v>
      </c>
      <c r="P173" s="367">
        <v>42</v>
      </c>
    </row>
    <row r="174" spans="5:16">
      <c r="J174" s="367">
        <v>318.14999999999998</v>
      </c>
      <c r="P174" s="367">
        <v>48</v>
      </c>
    </row>
    <row r="175" spans="5:16">
      <c r="J175" s="367">
        <v>327.60000000000002</v>
      </c>
      <c r="P175" s="367">
        <v>54</v>
      </c>
    </row>
    <row r="176" spans="5:16">
      <c r="J176" s="367">
        <v>333.9</v>
      </c>
      <c r="P176" s="367">
        <v>60</v>
      </c>
    </row>
    <row r="177" spans="9:16">
      <c r="J177" s="367">
        <v>338.1</v>
      </c>
      <c r="P177" s="367">
        <v>66</v>
      </c>
    </row>
    <row r="178" spans="9:16">
      <c r="J178" s="367">
        <v>343.35</v>
      </c>
      <c r="P178" s="367">
        <v>72</v>
      </c>
    </row>
    <row r="179" spans="9:16">
      <c r="I179" s="367" t="s">
        <v>703</v>
      </c>
      <c r="J179" s="367">
        <v>459.9</v>
      </c>
      <c r="O179" s="367">
        <v>84</v>
      </c>
      <c r="P179" s="367">
        <v>36</v>
      </c>
    </row>
    <row r="180" spans="9:16">
      <c r="J180" s="367">
        <v>486.15</v>
      </c>
      <c r="P180" s="367">
        <v>42</v>
      </c>
    </row>
    <row r="181" spans="9:16">
      <c r="J181" s="367">
        <v>511.35</v>
      </c>
      <c r="P181" s="367">
        <v>48</v>
      </c>
    </row>
    <row r="182" spans="9:16">
      <c r="J182" s="367">
        <v>562.79999999999995</v>
      </c>
      <c r="P182" s="367">
        <v>54</v>
      </c>
    </row>
    <row r="183" spans="9:16">
      <c r="J183" s="367">
        <v>588</v>
      </c>
      <c r="P183" s="367">
        <v>60</v>
      </c>
    </row>
    <row r="184" spans="9:16">
      <c r="J184" s="367">
        <v>639.45000000000005</v>
      </c>
      <c r="P184" s="367">
        <v>66</v>
      </c>
    </row>
    <row r="185" spans="9:16">
      <c r="J185" s="367">
        <v>665.7</v>
      </c>
      <c r="P185" s="367">
        <v>72</v>
      </c>
    </row>
    <row r="186" spans="9:16">
      <c r="I186" s="367" t="s">
        <v>2300</v>
      </c>
      <c r="J186" s="367">
        <v>552.29999999999995</v>
      </c>
      <c r="P186" s="367">
        <v>36</v>
      </c>
    </row>
    <row r="187" spans="9:16">
      <c r="J187" s="367">
        <v>582.75</v>
      </c>
      <c r="P187" s="367">
        <v>42</v>
      </c>
    </row>
    <row r="188" spans="9:16">
      <c r="J188" s="367">
        <v>613.20000000000005</v>
      </c>
      <c r="P188" s="367">
        <v>48</v>
      </c>
    </row>
    <row r="189" spans="9:16">
      <c r="J189" s="367">
        <v>675.15</v>
      </c>
      <c r="P189" s="367">
        <v>54</v>
      </c>
    </row>
    <row r="190" spans="9:16">
      <c r="J190" s="367">
        <v>706.65</v>
      </c>
      <c r="P190" s="367">
        <v>60</v>
      </c>
    </row>
    <row r="191" spans="9:16">
      <c r="I191" s="367" t="s">
        <v>704</v>
      </c>
      <c r="J191" s="367">
        <v>552.29999999999995</v>
      </c>
      <c r="P191" s="367">
        <v>36</v>
      </c>
    </row>
    <row r="192" spans="9:16">
      <c r="J192" s="367">
        <v>582.75</v>
      </c>
      <c r="P192" s="367">
        <v>42</v>
      </c>
    </row>
    <row r="193" spans="9:16">
      <c r="J193" s="367">
        <v>613.20000000000005</v>
      </c>
      <c r="P193" s="367">
        <v>48</v>
      </c>
    </row>
    <row r="194" spans="9:16">
      <c r="J194" s="367">
        <v>675.15</v>
      </c>
      <c r="P194" s="367">
        <v>54</v>
      </c>
    </row>
    <row r="195" spans="9:16">
      <c r="J195" s="367">
        <v>706.65</v>
      </c>
      <c r="P195" s="367">
        <v>60</v>
      </c>
    </row>
    <row r="196" spans="9:16">
      <c r="J196" s="367">
        <v>767.55</v>
      </c>
      <c r="P196" s="367">
        <v>66</v>
      </c>
    </row>
    <row r="197" spans="9:16">
      <c r="J197" s="367">
        <v>798</v>
      </c>
      <c r="P197" s="367">
        <v>72</v>
      </c>
    </row>
    <row r="198" spans="9:16">
      <c r="I198" s="367" t="s">
        <v>708</v>
      </c>
      <c r="J198" s="367">
        <v>552.29999999999995</v>
      </c>
      <c r="P198" s="367">
        <v>36</v>
      </c>
    </row>
    <row r="199" spans="9:16">
      <c r="J199" s="367">
        <v>582.75</v>
      </c>
      <c r="P199" s="367">
        <v>42</v>
      </c>
    </row>
    <row r="200" spans="9:16">
      <c r="J200" s="367">
        <v>613.20000000000005</v>
      </c>
      <c r="P200" s="367">
        <v>48</v>
      </c>
    </row>
    <row r="201" spans="9:16">
      <c r="J201" s="367">
        <v>675.15</v>
      </c>
      <c r="P201" s="367">
        <v>54</v>
      </c>
    </row>
    <row r="202" spans="9:16">
      <c r="J202" s="367">
        <v>706.65</v>
      </c>
      <c r="P202" s="367">
        <v>60</v>
      </c>
    </row>
    <row r="203" spans="9:16">
      <c r="I203" s="367" t="s">
        <v>706</v>
      </c>
      <c r="J203" s="367">
        <v>591.15</v>
      </c>
      <c r="P203" s="367">
        <v>36</v>
      </c>
    </row>
    <row r="204" spans="9:16">
      <c r="J204" s="367">
        <v>622.65</v>
      </c>
      <c r="P204" s="367">
        <v>42</v>
      </c>
    </row>
    <row r="205" spans="9:16">
      <c r="J205" s="367">
        <v>656.25</v>
      </c>
      <c r="P205" s="367">
        <v>48</v>
      </c>
    </row>
    <row r="206" spans="9:16">
      <c r="J206" s="367">
        <v>722.4</v>
      </c>
      <c r="P206" s="367">
        <v>54</v>
      </c>
    </row>
    <row r="207" spans="9:16">
      <c r="J207" s="367">
        <v>756</v>
      </c>
      <c r="P207" s="367">
        <v>60</v>
      </c>
    </row>
    <row r="208" spans="9:16">
      <c r="J208" s="367">
        <v>821.1</v>
      </c>
      <c r="P208" s="367">
        <v>66</v>
      </c>
    </row>
    <row r="209" spans="5:16">
      <c r="J209" s="367">
        <v>853.65</v>
      </c>
      <c r="P209" s="367">
        <v>72</v>
      </c>
    </row>
    <row r="210" spans="5:16">
      <c r="I210" s="367" t="s">
        <v>705</v>
      </c>
      <c r="J210" s="367">
        <v>641.54999999999995</v>
      </c>
      <c r="P210" s="367">
        <v>36</v>
      </c>
    </row>
    <row r="211" spans="5:16">
      <c r="J211" s="367">
        <v>687.75</v>
      </c>
      <c r="P211" s="367">
        <v>42</v>
      </c>
    </row>
    <row r="212" spans="5:16">
      <c r="J212" s="367">
        <v>732.9</v>
      </c>
      <c r="P212" s="367">
        <v>48</v>
      </c>
    </row>
    <row r="213" spans="5:16">
      <c r="J213" s="367">
        <v>810.6</v>
      </c>
      <c r="P213" s="367">
        <v>54</v>
      </c>
    </row>
    <row r="214" spans="5:16">
      <c r="J214" s="367">
        <v>855.75</v>
      </c>
      <c r="P214" s="367">
        <v>60</v>
      </c>
    </row>
    <row r="215" spans="5:16">
      <c r="J215" s="367">
        <v>932.4</v>
      </c>
      <c r="P215" s="367">
        <v>66</v>
      </c>
    </row>
    <row r="216" spans="5:16">
      <c r="J216" s="367">
        <v>978.6</v>
      </c>
      <c r="P216" s="367">
        <v>72</v>
      </c>
    </row>
    <row r="217" spans="5:16">
      <c r="I217" s="367" t="s">
        <v>707</v>
      </c>
      <c r="J217" s="367">
        <v>680.4</v>
      </c>
      <c r="P217" s="367">
        <v>36</v>
      </c>
    </row>
    <row r="218" spans="5:16">
      <c r="J218" s="367">
        <v>727.65</v>
      </c>
      <c r="P218" s="367">
        <v>42</v>
      </c>
    </row>
    <row r="219" spans="5:16">
      <c r="J219" s="367">
        <v>775.95</v>
      </c>
      <c r="P219" s="367">
        <v>48</v>
      </c>
    </row>
    <row r="220" spans="5:16">
      <c r="J220" s="367">
        <v>856.8</v>
      </c>
      <c r="P220" s="367">
        <v>54</v>
      </c>
    </row>
    <row r="221" spans="5:16">
      <c r="J221" s="367">
        <v>905.1</v>
      </c>
      <c r="P221" s="367">
        <v>60</v>
      </c>
    </row>
    <row r="222" spans="5:16">
      <c r="J222" s="367">
        <v>985.95</v>
      </c>
      <c r="P222" s="367">
        <v>66</v>
      </c>
    </row>
    <row r="223" spans="5:16">
      <c r="J223" s="367">
        <v>1034.25</v>
      </c>
      <c r="P223" s="367">
        <v>72</v>
      </c>
    </row>
    <row r="224" spans="5:16">
      <c r="E224" s="367">
        <v>330.75</v>
      </c>
      <c r="I224" s="367" t="s">
        <v>2301</v>
      </c>
      <c r="P224" s="367">
        <v>36</v>
      </c>
    </row>
    <row r="225" spans="1:18">
      <c r="J225" s="367">
        <v>342.3</v>
      </c>
      <c r="P225" s="367">
        <v>42</v>
      </c>
    </row>
    <row r="226" spans="1:18">
      <c r="J226" s="367">
        <v>352.8</v>
      </c>
      <c r="P226" s="367">
        <v>48</v>
      </c>
    </row>
    <row r="227" spans="1:18">
      <c r="J227" s="367">
        <v>364.35</v>
      </c>
      <c r="P227" s="367">
        <v>54</v>
      </c>
    </row>
    <row r="228" spans="1:18">
      <c r="J228" s="367">
        <v>369.6</v>
      </c>
      <c r="P228" s="367">
        <v>60</v>
      </c>
    </row>
    <row r="229" spans="1:18">
      <c r="J229" s="367">
        <v>374.85</v>
      </c>
      <c r="P229" s="367">
        <v>66</v>
      </c>
    </row>
    <row r="230" spans="1:18">
      <c r="J230" s="367">
        <v>381.15</v>
      </c>
      <c r="P230" s="367">
        <v>72</v>
      </c>
    </row>
    <row r="232" spans="1:18">
      <c r="A232" s="367" t="s">
        <v>1841</v>
      </c>
      <c r="B232" s="367">
        <v>0</v>
      </c>
      <c r="C232" s="367" t="s">
        <v>331</v>
      </c>
      <c r="D232" s="367" t="s">
        <v>2302</v>
      </c>
      <c r="F232" s="367">
        <v>0.24453800000000001</v>
      </c>
      <c r="G232" s="367">
        <v>1219.2</v>
      </c>
      <c r="H232" s="26" t="s">
        <v>2306</v>
      </c>
      <c r="R232" s="367" t="s">
        <v>2303</v>
      </c>
    </row>
    <row r="233" spans="1:18">
      <c r="A233" s="367" t="s">
        <v>382</v>
      </c>
      <c r="B233" s="367">
        <v>50</v>
      </c>
    </row>
    <row r="234" spans="1:18">
      <c r="K234" s="367" t="s">
        <v>257</v>
      </c>
      <c r="L234" s="367">
        <v>84</v>
      </c>
    </row>
    <row r="235" spans="1:18">
      <c r="Q235" s="367">
        <v>65</v>
      </c>
    </row>
    <row r="237" spans="1:18">
      <c r="I237" s="367" t="s">
        <v>703</v>
      </c>
      <c r="J237" s="367">
        <v>162.75</v>
      </c>
      <c r="O237" s="367">
        <v>72</v>
      </c>
      <c r="P237" s="367">
        <v>12</v>
      </c>
    </row>
    <row r="238" spans="1:18">
      <c r="J238" s="367">
        <v>174.3</v>
      </c>
      <c r="P238" s="367">
        <v>18</v>
      </c>
    </row>
    <row r="239" spans="1:18">
      <c r="J239" s="367">
        <v>192.15</v>
      </c>
      <c r="P239" s="367">
        <v>24</v>
      </c>
    </row>
    <row r="240" spans="1:18">
      <c r="J240" s="367">
        <v>203.7</v>
      </c>
      <c r="P240" s="367">
        <v>30</v>
      </c>
    </row>
    <row r="241" spans="9:16">
      <c r="J241" s="367">
        <v>221.55</v>
      </c>
      <c r="P241" s="367">
        <v>36</v>
      </c>
    </row>
    <row r="242" spans="9:16">
      <c r="J242" s="367">
        <v>239.4</v>
      </c>
      <c r="P242" s="367">
        <v>42</v>
      </c>
    </row>
    <row r="243" spans="9:16">
      <c r="J243" s="367">
        <v>280.35000000000002</v>
      </c>
      <c r="P243" s="367">
        <v>48</v>
      </c>
    </row>
    <row r="244" spans="9:16">
      <c r="I244" s="367" t="s">
        <v>2300</v>
      </c>
      <c r="J244" s="367">
        <v>162.75</v>
      </c>
      <c r="P244" s="367">
        <v>12</v>
      </c>
    </row>
    <row r="245" spans="9:16">
      <c r="J245" s="367">
        <v>174.3</v>
      </c>
      <c r="P245" s="367">
        <v>18</v>
      </c>
    </row>
    <row r="246" spans="9:16">
      <c r="J246" s="367">
        <v>192.15</v>
      </c>
      <c r="P246" s="367">
        <v>24</v>
      </c>
    </row>
    <row r="247" spans="9:16">
      <c r="J247" s="367">
        <v>203.7</v>
      </c>
      <c r="P247" s="367">
        <v>30</v>
      </c>
    </row>
    <row r="248" spans="9:16">
      <c r="J248" s="367">
        <v>221.55</v>
      </c>
      <c r="P248" s="367">
        <v>36</v>
      </c>
    </row>
    <row r="249" spans="9:16">
      <c r="J249" s="367">
        <v>239.4</v>
      </c>
      <c r="P249" s="367">
        <v>42</v>
      </c>
    </row>
    <row r="250" spans="9:16">
      <c r="J250" s="367">
        <v>280.35000000000002</v>
      </c>
      <c r="P250" s="367">
        <v>48</v>
      </c>
    </row>
    <row r="251" spans="9:16">
      <c r="I251" s="367" t="s">
        <v>704</v>
      </c>
      <c r="J251" s="367">
        <v>197.4</v>
      </c>
      <c r="P251" s="367">
        <v>12</v>
      </c>
    </row>
    <row r="252" spans="9:16">
      <c r="J252" s="367">
        <v>212.1</v>
      </c>
      <c r="P252" s="367">
        <v>18</v>
      </c>
    </row>
    <row r="253" spans="9:16">
      <c r="J253" s="367">
        <v>234.15</v>
      </c>
      <c r="P253" s="367">
        <v>24</v>
      </c>
    </row>
    <row r="254" spans="9:16">
      <c r="J254" s="367">
        <v>247.8</v>
      </c>
      <c r="P254" s="367">
        <v>30</v>
      </c>
    </row>
    <row r="255" spans="9:16">
      <c r="J255" s="367">
        <v>269.85000000000002</v>
      </c>
      <c r="P255" s="367">
        <v>36</v>
      </c>
    </row>
    <row r="256" spans="9:16">
      <c r="J256" s="367">
        <v>290.85000000000002</v>
      </c>
      <c r="P256" s="367">
        <v>42</v>
      </c>
    </row>
    <row r="257" spans="9:16">
      <c r="J257" s="367">
        <v>341.25</v>
      </c>
      <c r="P257" s="367">
        <v>48</v>
      </c>
    </row>
    <row r="258" spans="9:16">
      <c r="I258" s="367" t="s">
        <v>708</v>
      </c>
      <c r="J258" s="367">
        <v>197.4</v>
      </c>
      <c r="P258" s="367">
        <v>12</v>
      </c>
    </row>
    <row r="259" spans="9:16">
      <c r="J259" s="367">
        <v>212.1</v>
      </c>
      <c r="P259" s="367">
        <v>18</v>
      </c>
    </row>
    <row r="260" spans="9:16">
      <c r="J260" s="367">
        <v>234.15</v>
      </c>
      <c r="P260" s="367">
        <v>24</v>
      </c>
    </row>
    <row r="261" spans="9:16">
      <c r="J261" s="367">
        <v>247.8</v>
      </c>
      <c r="P261" s="367">
        <v>30</v>
      </c>
    </row>
    <row r="262" spans="9:16">
      <c r="J262" s="367">
        <v>269.85000000000002</v>
      </c>
      <c r="P262" s="367">
        <v>36</v>
      </c>
    </row>
    <row r="263" spans="9:16">
      <c r="J263" s="367">
        <v>290.85000000000002</v>
      </c>
      <c r="P263" s="367">
        <v>42</v>
      </c>
    </row>
    <row r="264" spans="9:16">
      <c r="J264" s="367">
        <v>341.25</v>
      </c>
      <c r="P264" s="367">
        <v>48</v>
      </c>
    </row>
    <row r="265" spans="9:16">
      <c r="I265" s="367" t="s">
        <v>706</v>
      </c>
      <c r="J265" s="367">
        <v>212.1</v>
      </c>
      <c r="P265" s="367">
        <v>12</v>
      </c>
    </row>
    <row r="266" spans="9:16">
      <c r="J266" s="367">
        <v>227.85</v>
      </c>
      <c r="P266" s="367">
        <v>18</v>
      </c>
    </row>
    <row r="267" spans="9:16">
      <c r="J267" s="367">
        <v>250.95</v>
      </c>
      <c r="P267" s="367">
        <v>24</v>
      </c>
    </row>
    <row r="268" spans="9:16">
      <c r="J268" s="367">
        <v>265.64999999999998</v>
      </c>
      <c r="P268" s="367">
        <v>30</v>
      </c>
    </row>
    <row r="269" spans="9:16">
      <c r="J269" s="367">
        <v>289.8</v>
      </c>
      <c r="P269" s="367">
        <v>36</v>
      </c>
    </row>
    <row r="270" spans="9:16">
      <c r="J270" s="367">
        <v>312.89999999999998</v>
      </c>
      <c r="P270" s="367">
        <v>42</v>
      </c>
    </row>
    <row r="271" spans="9:16">
      <c r="J271" s="367">
        <v>366.45</v>
      </c>
      <c r="P271" s="367">
        <v>48</v>
      </c>
    </row>
    <row r="272" spans="9:16">
      <c r="I272" s="367" t="s">
        <v>705</v>
      </c>
      <c r="J272" s="367">
        <v>223.65</v>
      </c>
      <c r="P272" s="367">
        <v>12</v>
      </c>
    </row>
    <row r="273" spans="5:16">
      <c r="J273" s="367">
        <v>250.95</v>
      </c>
      <c r="P273" s="367">
        <v>18</v>
      </c>
    </row>
    <row r="274" spans="5:16">
      <c r="J274" s="367">
        <v>285.60000000000002</v>
      </c>
      <c r="P274" s="367">
        <v>24</v>
      </c>
    </row>
    <row r="275" spans="5:16">
      <c r="J275" s="367">
        <v>311.85000000000002</v>
      </c>
      <c r="P275" s="367">
        <v>30</v>
      </c>
    </row>
    <row r="276" spans="5:16">
      <c r="J276" s="367">
        <v>346.5</v>
      </c>
      <c r="P276" s="367">
        <v>36</v>
      </c>
    </row>
    <row r="277" spans="5:16">
      <c r="J277" s="367">
        <v>381.15</v>
      </c>
      <c r="P277" s="367">
        <v>42</v>
      </c>
    </row>
    <row r="278" spans="5:16">
      <c r="J278" s="367">
        <v>444.15</v>
      </c>
      <c r="P278" s="367">
        <v>48</v>
      </c>
    </row>
    <row r="279" spans="5:16">
      <c r="I279" s="367" t="s">
        <v>707</v>
      </c>
      <c r="J279" s="367">
        <v>238.35</v>
      </c>
      <c r="P279" s="367">
        <v>12</v>
      </c>
    </row>
    <row r="280" spans="5:16">
      <c r="J280" s="367">
        <v>265.64999999999998</v>
      </c>
      <c r="P280" s="367">
        <v>18</v>
      </c>
    </row>
    <row r="281" spans="5:16">
      <c r="J281" s="367">
        <v>302.39999999999998</v>
      </c>
      <c r="P281" s="367">
        <v>24</v>
      </c>
    </row>
    <row r="282" spans="5:16">
      <c r="J282" s="367">
        <v>330.75</v>
      </c>
      <c r="P282" s="367">
        <v>30</v>
      </c>
    </row>
    <row r="283" spans="5:16">
      <c r="J283" s="367">
        <v>366.45</v>
      </c>
      <c r="P283" s="367">
        <v>36</v>
      </c>
    </row>
    <row r="284" spans="5:16">
      <c r="J284" s="367">
        <v>403.2</v>
      </c>
      <c r="P284" s="367">
        <v>42</v>
      </c>
    </row>
    <row r="285" spans="5:16">
      <c r="J285" s="367">
        <v>469.35</v>
      </c>
      <c r="P285" s="367">
        <v>48</v>
      </c>
    </row>
    <row r="286" spans="5:16">
      <c r="E286" s="367">
        <v>139.65</v>
      </c>
      <c r="I286" s="367" t="s">
        <v>2301</v>
      </c>
      <c r="P286" s="367">
        <v>12</v>
      </c>
    </row>
    <row r="287" spans="5:16">
      <c r="J287" s="367">
        <v>144.9</v>
      </c>
      <c r="P287" s="367">
        <v>18</v>
      </c>
    </row>
    <row r="288" spans="5:16">
      <c r="J288" s="367">
        <v>144.9</v>
      </c>
      <c r="P288" s="367">
        <v>24</v>
      </c>
    </row>
    <row r="289" spans="9:16">
      <c r="J289" s="367">
        <v>149.1</v>
      </c>
      <c r="P289" s="367">
        <v>30</v>
      </c>
    </row>
    <row r="290" spans="9:16">
      <c r="J290" s="367">
        <v>149.1</v>
      </c>
      <c r="P290" s="367">
        <v>36</v>
      </c>
    </row>
    <row r="291" spans="9:16">
      <c r="J291" s="367">
        <v>154.35</v>
      </c>
      <c r="P291" s="367">
        <v>42</v>
      </c>
    </row>
    <row r="292" spans="9:16">
      <c r="J292" s="367">
        <v>154.35</v>
      </c>
      <c r="P292" s="367">
        <v>48</v>
      </c>
    </row>
    <row r="293" spans="9:16">
      <c r="I293" s="367" t="s">
        <v>703</v>
      </c>
      <c r="J293" s="367">
        <v>177.45</v>
      </c>
      <c r="O293" s="367">
        <v>84</v>
      </c>
      <c r="P293" s="367">
        <v>12</v>
      </c>
    </row>
    <row r="294" spans="9:16">
      <c r="J294" s="367">
        <v>190.05</v>
      </c>
      <c r="P294" s="367">
        <v>18</v>
      </c>
    </row>
    <row r="295" spans="9:16">
      <c r="J295" s="367">
        <v>208.95</v>
      </c>
      <c r="P295" s="367">
        <v>24</v>
      </c>
    </row>
    <row r="296" spans="9:16">
      <c r="J296" s="367">
        <v>222.6</v>
      </c>
      <c r="P296" s="367">
        <v>30</v>
      </c>
    </row>
    <row r="297" spans="9:16">
      <c r="J297" s="367">
        <v>241.5</v>
      </c>
      <c r="P297" s="367">
        <v>36</v>
      </c>
    </row>
    <row r="298" spans="9:16">
      <c r="J298" s="367">
        <v>260.39999999999998</v>
      </c>
      <c r="P298" s="367">
        <v>42</v>
      </c>
    </row>
    <row r="299" spans="9:16">
      <c r="J299" s="367">
        <v>305.55</v>
      </c>
      <c r="P299" s="367">
        <v>48</v>
      </c>
    </row>
    <row r="300" spans="9:16">
      <c r="I300" s="367" t="s">
        <v>2300</v>
      </c>
      <c r="J300" s="367">
        <v>177.45</v>
      </c>
      <c r="P300" s="367">
        <v>12</v>
      </c>
    </row>
    <row r="301" spans="9:16">
      <c r="J301" s="367">
        <v>190.05</v>
      </c>
      <c r="P301" s="367">
        <v>18</v>
      </c>
    </row>
    <row r="302" spans="9:16">
      <c r="J302" s="367">
        <v>208.95</v>
      </c>
      <c r="P302" s="367">
        <v>24</v>
      </c>
    </row>
    <row r="303" spans="9:16">
      <c r="J303" s="367">
        <v>222.6</v>
      </c>
      <c r="P303" s="367">
        <v>30</v>
      </c>
    </row>
    <row r="304" spans="9:16">
      <c r="J304" s="367">
        <v>241.5</v>
      </c>
      <c r="P304" s="367">
        <v>36</v>
      </c>
    </row>
    <row r="305" spans="9:16">
      <c r="J305" s="367">
        <v>260.39999999999998</v>
      </c>
      <c r="P305" s="367">
        <v>42</v>
      </c>
    </row>
    <row r="306" spans="9:16">
      <c r="J306" s="367">
        <v>305.55</v>
      </c>
      <c r="P306" s="367">
        <v>48</v>
      </c>
    </row>
    <row r="307" spans="9:16">
      <c r="I307" s="367" t="s">
        <v>704</v>
      </c>
      <c r="J307" s="367">
        <v>212.1</v>
      </c>
      <c r="P307" s="367">
        <v>12</v>
      </c>
    </row>
    <row r="308" spans="9:16">
      <c r="J308" s="367">
        <v>227.85</v>
      </c>
      <c r="P308" s="367">
        <v>18</v>
      </c>
    </row>
    <row r="309" spans="9:16">
      <c r="J309" s="367">
        <v>250.95</v>
      </c>
      <c r="P309" s="367">
        <v>24</v>
      </c>
    </row>
    <row r="310" spans="9:16">
      <c r="J310" s="367">
        <v>265.64999999999998</v>
      </c>
      <c r="P310" s="367">
        <v>30</v>
      </c>
    </row>
    <row r="311" spans="9:16">
      <c r="J311" s="367">
        <v>289.8</v>
      </c>
      <c r="P311" s="367">
        <v>36</v>
      </c>
    </row>
    <row r="312" spans="9:16">
      <c r="J312" s="367">
        <v>312.89999999999998</v>
      </c>
      <c r="P312" s="367">
        <v>42</v>
      </c>
    </row>
    <row r="313" spans="9:16">
      <c r="J313" s="367">
        <v>366.45</v>
      </c>
      <c r="P313" s="367">
        <v>48</v>
      </c>
    </row>
    <row r="314" spans="9:16">
      <c r="I314" s="367" t="s">
        <v>708</v>
      </c>
      <c r="J314" s="367">
        <v>212.1</v>
      </c>
      <c r="P314" s="367">
        <v>12</v>
      </c>
    </row>
    <row r="315" spans="9:16">
      <c r="J315" s="367">
        <v>227.85</v>
      </c>
      <c r="P315" s="367">
        <v>18</v>
      </c>
    </row>
    <row r="316" spans="9:16">
      <c r="J316" s="367">
        <v>250.95</v>
      </c>
      <c r="P316" s="367">
        <v>24</v>
      </c>
    </row>
    <row r="317" spans="9:16">
      <c r="J317" s="367">
        <v>265.64999999999998</v>
      </c>
      <c r="P317" s="367">
        <v>30</v>
      </c>
    </row>
    <row r="318" spans="9:16">
      <c r="J318" s="367">
        <v>289.8</v>
      </c>
      <c r="P318" s="367">
        <v>36</v>
      </c>
    </row>
    <row r="319" spans="9:16">
      <c r="J319" s="367">
        <v>312.89999999999998</v>
      </c>
      <c r="P319" s="367">
        <v>42</v>
      </c>
    </row>
    <row r="320" spans="9:16">
      <c r="J320" s="367">
        <v>366.45</v>
      </c>
      <c r="P320" s="367">
        <v>48</v>
      </c>
    </row>
    <row r="321" spans="9:16">
      <c r="I321" s="367" t="s">
        <v>706</v>
      </c>
      <c r="J321" s="367">
        <v>227.85</v>
      </c>
      <c r="P321" s="367">
        <v>12</v>
      </c>
    </row>
    <row r="322" spans="9:16">
      <c r="J322" s="367">
        <v>243.6</v>
      </c>
      <c r="P322" s="367">
        <v>18</v>
      </c>
    </row>
    <row r="323" spans="9:16">
      <c r="J323" s="367">
        <v>267.75</v>
      </c>
      <c r="P323" s="367">
        <v>24</v>
      </c>
    </row>
    <row r="324" spans="9:16">
      <c r="J324" s="367">
        <v>285.60000000000002</v>
      </c>
      <c r="P324" s="367">
        <v>30</v>
      </c>
    </row>
    <row r="325" spans="9:16">
      <c r="J325" s="367">
        <v>309.75</v>
      </c>
      <c r="P325" s="367">
        <v>36</v>
      </c>
    </row>
    <row r="326" spans="9:16">
      <c r="J326" s="367">
        <v>334.95</v>
      </c>
      <c r="P326" s="367">
        <v>42</v>
      </c>
    </row>
    <row r="327" spans="9:16">
      <c r="J327" s="367">
        <v>392.7</v>
      </c>
      <c r="P327" s="367">
        <v>48</v>
      </c>
    </row>
    <row r="328" spans="9:16">
      <c r="I328" s="367" t="s">
        <v>705</v>
      </c>
      <c r="J328" s="367">
        <v>242.55</v>
      </c>
      <c r="P328" s="367">
        <v>12</v>
      </c>
    </row>
    <row r="329" spans="9:16">
      <c r="J329" s="367">
        <v>273</v>
      </c>
      <c r="P329" s="367">
        <v>18</v>
      </c>
    </row>
    <row r="330" spans="9:16">
      <c r="J330" s="367">
        <v>310.8</v>
      </c>
      <c r="P330" s="367">
        <v>24</v>
      </c>
    </row>
    <row r="331" spans="9:16">
      <c r="J331" s="367">
        <v>341.25</v>
      </c>
      <c r="P331" s="367">
        <v>30</v>
      </c>
    </row>
    <row r="332" spans="9:16">
      <c r="J332" s="367">
        <v>380.1</v>
      </c>
      <c r="P332" s="367">
        <v>36</v>
      </c>
    </row>
    <row r="333" spans="9:16">
      <c r="J333" s="367">
        <v>417.9</v>
      </c>
      <c r="P333" s="367">
        <v>42</v>
      </c>
    </row>
    <row r="334" spans="9:16">
      <c r="J334" s="367">
        <v>487.2</v>
      </c>
      <c r="P334" s="367">
        <v>48</v>
      </c>
    </row>
    <row r="335" spans="9:16">
      <c r="I335" s="367" t="s">
        <v>707</v>
      </c>
      <c r="J335" s="367">
        <v>257.25</v>
      </c>
      <c r="P335" s="367">
        <v>12</v>
      </c>
    </row>
    <row r="336" spans="9:16">
      <c r="J336" s="367">
        <v>288.75</v>
      </c>
      <c r="P336" s="367">
        <v>18</v>
      </c>
    </row>
    <row r="337" spans="1:18">
      <c r="J337" s="367">
        <v>328.65</v>
      </c>
      <c r="P337" s="367">
        <v>24</v>
      </c>
    </row>
    <row r="338" spans="1:18">
      <c r="J338" s="367">
        <v>360.15</v>
      </c>
      <c r="P338" s="367">
        <v>30</v>
      </c>
    </row>
    <row r="339" spans="1:18">
      <c r="J339" s="367">
        <v>400.05</v>
      </c>
      <c r="P339" s="367">
        <v>36</v>
      </c>
    </row>
    <row r="340" spans="1:18">
      <c r="J340" s="367">
        <v>439.95</v>
      </c>
      <c r="P340" s="367">
        <v>42</v>
      </c>
    </row>
    <row r="341" spans="1:18">
      <c r="J341" s="367">
        <v>512.4</v>
      </c>
      <c r="P341" s="367">
        <v>48</v>
      </c>
    </row>
    <row r="342" spans="1:18">
      <c r="E342" s="367">
        <v>154.35</v>
      </c>
      <c r="I342" s="367" t="s">
        <v>2301</v>
      </c>
      <c r="P342" s="367">
        <v>12</v>
      </c>
    </row>
    <row r="343" spans="1:18">
      <c r="J343" s="367">
        <v>160.65</v>
      </c>
      <c r="P343" s="367">
        <v>18</v>
      </c>
    </row>
    <row r="344" spans="1:18">
      <c r="J344" s="367">
        <v>160.65</v>
      </c>
      <c r="P344" s="367">
        <v>24</v>
      </c>
    </row>
    <row r="345" spans="1:18">
      <c r="J345" s="367">
        <v>165.9</v>
      </c>
      <c r="P345" s="367">
        <v>30</v>
      </c>
    </row>
    <row r="346" spans="1:18">
      <c r="J346" s="367">
        <v>165.9</v>
      </c>
      <c r="P346" s="367">
        <v>36</v>
      </c>
    </row>
    <row r="347" spans="1:18">
      <c r="J347" s="367">
        <v>171.15</v>
      </c>
      <c r="P347" s="367">
        <v>42</v>
      </c>
    </row>
    <row r="348" spans="1:18">
      <c r="J348" s="367">
        <v>171.15</v>
      </c>
      <c r="P348" s="367">
        <v>48</v>
      </c>
    </row>
    <row r="350" spans="1:18">
      <c r="A350" s="367" t="s">
        <v>1841</v>
      </c>
      <c r="B350" s="367">
        <v>0</v>
      </c>
      <c r="C350" s="367" t="s">
        <v>331</v>
      </c>
      <c r="D350" s="367" t="s">
        <v>2304</v>
      </c>
      <c r="F350" s="367">
        <v>0.24453800000000001</v>
      </c>
      <c r="G350" s="367">
        <v>533.4</v>
      </c>
      <c r="H350" s="26" t="s">
        <v>2306</v>
      </c>
      <c r="R350" s="367" t="s">
        <v>2305</v>
      </c>
    </row>
    <row r="351" spans="1:18">
      <c r="A351" s="367" t="s">
        <v>382</v>
      </c>
      <c r="B351" s="367">
        <v>70</v>
      </c>
    </row>
    <row r="353" spans="5:16">
      <c r="I353" s="367" t="s">
        <v>703</v>
      </c>
      <c r="J353" s="367">
        <v>598.5</v>
      </c>
      <c r="O353" s="367">
        <v>72</v>
      </c>
      <c r="P353" s="367">
        <v>36</v>
      </c>
    </row>
    <row r="354" spans="5:16">
      <c r="J354" s="367">
        <v>627.9</v>
      </c>
      <c r="P354" s="367">
        <v>42</v>
      </c>
    </row>
    <row r="355" spans="5:16">
      <c r="I355" s="367" t="s">
        <v>2300</v>
      </c>
      <c r="J355" s="367">
        <v>598.5</v>
      </c>
      <c r="P355" s="367">
        <v>36</v>
      </c>
    </row>
    <row r="356" spans="5:16">
      <c r="J356" s="367">
        <v>627.9</v>
      </c>
      <c r="P356" s="367">
        <v>42</v>
      </c>
    </row>
    <row r="357" spans="5:16">
      <c r="I357" s="367" t="s">
        <v>704</v>
      </c>
      <c r="J357" s="367">
        <v>786.45</v>
      </c>
      <c r="P357" s="367">
        <v>36</v>
      </c>
    </row>
    <row r="358" spans="5:16">
      <c r="J358" s="367">
        <v>893.55</v>
      </c>
      <c r="P358" s="367">
        <v>42</v>
      </c>
    </row>
    <row r="359" spans="5:16">
      <c r="I359" s="367" t="s">
        <v>708</v>
      </c>
      <c r="J359" s="367">
        <v>786.45</v>
      </c>
      <c r="P359" s="367">
        <v>36</v>
      </c>
    </row>
    <row r="360" spans="5:16">
      <c r="J360" s="367">
        <v>893.55</v>
      </c>
      <c r="P360" s="367">
        <v>42</v>
      </c>
    </row>
    <row r="361" spans="5:16">
      <c r="I361" s="367" t="s">
        <v>706</v>
      </c>
      <c r="J361" s="367">
        <v>844.2</v>
      </c>
      <c r="P361" s="367">
        <v>36</v>
      </c>
    </row>
    <row r="362" spans="5:16">
      <c r="J362" s="367">
        <v>959.7</v>
      </c>
      <c r="P362" s="367">
        <v>42</v>
      </c>
    </row>
    <row r="363" spans="5:16">
      <c r="I363" s="367" t="s">
        <v>705</v>
      </c>
      <c r="J363" s="367">
        <v>940.8</v>
      </c>
      <c r="P363" s="367">
        <v>36</v>
      </c>
    </row>
    <row r="364" spans="5:16">
      <c r="J364" s="367">
        <v>1074.1500000000001</v>
      </c>
      <c r="P364" s="367">
        <v>42</v>
      </c>
    </row>
    <row r="365" spans="5:16">
      <c r="I365" s="367" t="s">
        <v>707</v>
      </c>
      <c r="J365" s="367">
        <v>998.55</v>
      </c>
      <c r="P365" s="367">
        <v>36</v>
      </c>
    </row>
    <row r="366" spans="5:16">
      <c r="J366" s="367">
        <v>1140.3</v>
      </c>
      <c r="P366" s="367">
        <v>42</v>
      </c>
    </row>
    <row r="367" spans="5:16">
      <c r="E367" s="367">
        <v>372.75</v>
      </c>
      <c r="I367" s="367" t="s">
        <v>2301</v>
      </c>
      <c r="P367" s="367">
        <v>36</v>
      </c>
    </row>
    <row r="368" spans="5:16">
      <c r="J368" s="367">
        <v>383.25</v>
      </c>
      <c r="P368" s="367">
        <v>42</v>
      </c>
    </row>
    <row r="369" spans="5:16">
      <c r="I369" s="367" t="s">
        <v>703</v>
      </c>
      <c r="J369" s="367">
        <v>653.1</v>
      </c>
      <c r="O369" s="367">
        <v>84</v>
      </c>
      <c r="P369" s="367">
        <v>36</v>
      </c>
    </row>
    <row r="370" spans="5:16">
      <c r="J370" s="367">
        <v>684.6</v>
      </c>
      <c r="P370" s="367">
        <v>42</v>
      </c>
    </row>
    <row r="371" spans="5:16">
      <c r="I371" s="367" t="s">
        <v>2300</v>
      </c>
      <c r="J371" s="367">
        <v>653.1</v>
      </c>
      <c r="P371" s="367">
        <v>36</v>
      </c>
    </row>
    <row r="372" spans="5:16">
      <c r="J372" s="367">
        <v>684.6</v>
      </c>
      <c r="P372" s="367">
        <v>42</v>
      </c>
    </row>
    <row r="373" spans="5:16">
      <c r="I373" s="367" t="s">
        <v>704</v>
      </c>
      <c r="J373" s="367">
        <v>844.2</v>
      </c>
      <c r="P373" s="367">
        <v>36</v>
      </c>
    </row>
    <row r="374" spans="5:16">
      <c r="J374" s="367">
        <v>959.7</v>
      </c>
      <c r="P374" s="367">
        <v>42</v>
      </c>
    </row>
    <row r="375" spans="5:16">
      <c r="I375" s="367" t="s">
        <v>708</v>
      </c>
      <c r="J375" s="367">
        <v>844.2</v>
      </c>
      <c r="P375" s="367">
        <v>36</v>
      </c>
    </row>
    <row r="376" spans="5:16">
      <c r="J376" s="367">
        <v>959.7</v>
      </c>
      <c r="P376" s="367">
        <v>42</v>
      </c>
    </row>
    <row r="377" spans="5:16">
      <c r="I377" s="367" t="s">
        <v>706</v>
      </c>
      <c r="J377" s="367">
        <v>903</v>
      </c>
      <c r="P377" s="367">
        <v>36</v>
      </c>
    </row>
    <row r="378" spans="5:16">
      <c r="J378" s="367">
        <v>1027.95</v>
      </c>
      <c r="P378" s="367">
        <v>42</v>
      </c>
    </row>
    <row r="379" spans="5:16">
      <c r="I379" s="367" t="s">
        <v>705</v>
      </c>
      <c r="J379" s="367">
        <v>1024.8</v>
      </c>
      <c r="P379" s="367">
        <v>36</v>
      </c>
    </row>
    <row r="380" spans="5:16">
      <c r="J380" s="367">
        <v>1169.7</v>
      </c>
      <c r="P380" s="367">
        <v>42</v>
      </c>
    </row>
    <row r="381" spans="5:16">
      <c r="I381" s="367" t="s">
        <v>707</v>
      </c>
      <c r="J381" s="367">
        <v>1083.5999999999999</v>
      </c>
      <c r="P381" s="367">
        <v>36</v>
      </c>
    </row>
    <row r="382" spans="5:16">
      <c r="J382" s="367">
        <v>1237.95</v>
      </c>
      <c r="P382" s="367">
        <v>42</v>
      </c>
    </row>
    <row r="383" spans="5:16">
      <c r="E383" s="367">
        <v>413.7</v>
      </c>
      <c r="I383" s="367" t="s">
        <v>2301</v>
      </c>
      <c r="P383" s="367">
        <v>36</v>
      </c>
    </row>
    <row r="384" spans="5:16">
      <c r="J384" s="367">
        <v>425.25</v>
      </c>
      <c r="P384" s="367">
        <v>42</v>
      </c>
    </row>
  </sheetData>
  <conditionalFormatting sqref="V22:Y22">
    <cfRule type="duplicateValues" dxfId="1" priority="9"/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892A3-874F-451A-A751-EEF4EE11802A}">
  <sheetPr codeName="Sheet15"/>
  <dimension ref="A1:Y91"/>
  <sheetViews>
    <sheetView topLeftCell="A40" zoomScale="75" zoomScaleNormal="75" workbookViewId="0">
      <selection activeCell="L68" sqref="L68"/>
    </sheetView>
  </sheetViews>
  <sheetFormatPr defaultRowHeight="15"/>
  <cols>
    <col min="1" max="1" width="24.85546875" style="367" customWidth="1"/>
    <col min="2" max="2" width="19.5703125" style="367" customWidth="1"/>
    <col min="3" max="3" width="26" style="367" customWidth="1"/>
    <col min="4" max="4" width="28.85546875" style="367" customWidth="1"/>
    <col min="5" max="5" width="31.85546875" style="367" customWidth="1"/>
    <col min="6" max="6" width="28.42578125" style="367" customWidth="1"/>
    <col min="7" max="7" width="27" style="367" customWidth="1"/>
    <col min="8" max="8" width="26" style="26" customWidth="1"/>
    <col min="9" max="9" width="25.42578125" style="367" bestFit="1" customWidth="1"/>
    <col min="10" max="10" width="28.28515625" style="367" bestFit="1" customWidth="1"/>
    <col min="11" max="11" width="8.140625" style="367" bestFit="1" customWidth="1"/>
    <col min="12" max="12" width="17.28515625" style="367" bestFit="1" customWidth="1"/>
    <col min="13" max="13" width="16.5703125" style="367" bestFit="1" customWidth="1"/>
    <col min="14" max="14" width="50.7109375" style="367" bestFit="1" customWidth="1"/>
    <col min="15" max="15" width="7.5703125" style="367" bestFit="1" customWidth="1"/>
    <col min="16" max="16" width="8.85546875" style="367" bestFit="1" customWidth="1"/>
    <col min="17" max="17" width="9.28515625" style="367" bestFit="1" customWidth="1"/>
    <col min="18" max="18" width="8" style="367" bestFit="1" customWidth="1"/>
    <col min="19" max="19" width="5.85546875" style="1" bestFit="1" customWidth="1"/>
    <col min="20" max="21" width="5.7109375" style="367" bestFit="1" customWidth="1"/>
    <col min="22" max="22" width="8.140625" style="367" bestFit="1" customWidth="1"/>
    <col min="23" max="23" width="10" style="416" customWidth="1"/>
    <col min="24" max="16384" width="9.140625" style="367"/>
  </cols>
  <sheetData>
    <row r="1" spans="1:23">
      <c r="A1" s="429" t="s">
        <v>2228</v>
      </c>
      <c r="B1" s="429" t="s">
        <v>0</v>
      </c>
      <c r="C1" s="429" t="s">
        <v>102</v>
      </c>
      <c r="D1" s="429" t="s">
        <v>2229</v>
      </c>
      <c r="E1" s="429" t="s">
        <v>2230</v>
      </c>
      <c r="F1" s="429"/>
      <c r="G1" s="429" t="s">
        <v>2228</v>
      </c>
      <c r="H1" s="429" t="s">
        <v>0</v>
      </c>
      <c r="I1" s="429" t="s">
        <v>102</v>
      </c>
      <c r="J1" s="429" t="s">
        <v>2229</v>
      </c>
      <c r="K1" s="429" t="s">
        <v>2230</v>
      </c>
      <c r="L1" s="429"/>
      <c r="M1" s="429" t="s">
        <v>2228</v>
      </c>
      <c r="N1" s="429" t="s">
        <v>0</v>
      </c>
      <c r="O1" s="429" t="s">
        <v>102</v>
      </c>
      <c r="P1" s="429" t="s">
        <v>2229</v>
      </c>
      <c r="Q1" s="429" t="s">
        <v>2230</v>
      </c>
      <c r="R1" s="429"/>
      <c r="S1" s="429"/>
      <c r="T1" s="429"/>
      <c r="U1" s="429"/>
      <c r="V1" s="429"/>
      <c r="W1" s="429"/>
    </row>
    <row r="2" spans="1:23">
      <c r="A2" s="429" t="s">
        <v>2310</v>
      </c>
      <c r="B2" s="429" t="s">
        <v>2311</v>
      </c>
      <c r="C2" s="429" t="s">
        <v>176</v>
      </c>
      <c r="D2" s="429"/>
      <c r="E2" s="429">
        <v>70.02</v>
      </c>
      <c r="F2" s="429"/>
      <c r="G2" s="429" t="s">
        <v>2312</v>
      </c>
      <c r="H2" s="429" t="s">
        <v>2313</v>
      </c>
      <c r="I2" s="429" t="s">
        <v>176</v>
      </c>
      <c r="J2" s="429"/>
      <c r="K2" s="429">
        <v>71.83</v>
      </c>
      <c r="L2" s="429"/>
      <c r="M2" s="429" t="s">
        <v>2314</v>
      </c>
      <c r="N2" s="429" t="s">
        <v>2315</v>
      </c>
      <c r="O2" s="429" t="s">
        <v>2309</v>
      </c>
      <c r="P2" s="429"/>
      <c r="Q2" s="429">
        <v>92.533000000000001</v>
      </c>
      <c r="R2" s="429"/>
      <c r="S2" s="429"/>
      <c r="T2" s="429"/>
      <c r="U2" s="429"/>
      <c r="V2" s="429"/>
      <c r="W2" s="429"/>
    </row>
    <row r="3" spans="1:23">
      <c r="A3" s="429" t="s">
        <v>2316</v>
      </c>
      <c r="B3" s="429" t="s">
        <v>2317</v>
      </c>
      <c r="C3" s="429" t="s">
        <v>176</v>
      </c>
      <c r="D3" s="429"/>
      <c r="E3" s="429">
        <v>83.36</v>
      </c>
      <c r="F3" s="429"/>
      <c r="G3" s="429" t="s">
        <v>2318</v>
      </c>
      <c r="H3" s="429" t="s">
        <v>2319</v>
      </c>
      <c r="I3" s="429" t="s">
        <v>176</v>
      </c>
      <c r="J3" s="429"/>
      <c r="K3" s="429">
        <v>88.4</v>
      </c>
      <c r="L3" s="429"/>
      <c r="M3" s="429" t="s">
        <v>2320</v>
      </c>
      <c r="N3" s="429" t="s">
        <v>2321</v>
      </c>
      <c r="O3" s="429" t="s">
        <v>2309</v>
      </c>
      <c r="P3" s="429"/>
      <c r="Q3" s="429">
        <v>89.131</v>
      </c>
      <c r="R3" s="429"/>
      <c r="S3" s="429"/>
      <c r="T3" s="429"/>
      <c r="U3" s="429"/>
      <c r="V3" s="429"/>
      <c r="W3" s="429"/>
    </row>
    <row r="4" spans="1:23">
      <c r="A4" s="429" t="s">
        <v>2322</v>
      </c>
      <c r="B4" s="429" t="s">
        <v>2323</v>
      </c>
      <c r="C4" s="429" t="s">
        <v>176</v>
      </c>
      <c r="D4" s="429"/>
      <c r="E4" s="429">
        <v>95.02</v>
      </c>
      <c r="F4" s="429"/>
      <c r="G4" s="429" t="s">
        <v>2324</v>
      </c>
      <c r="H4" s="429" t="s">
        <v>2325</v>
      </c>
      <c r="I4" s="429" t="s">
        <v>176</v>
      </c>
      <c r="J4" s="429"/>
      <c r="K4" s="429">
        <v>114.21</v>
      </c>
      <c r="L4" s="429"/>
      <c r="M4" s="429" t="s">
        <v>2326</v>
      </c>
      <c r="N4" s="429" t="s">
        <v>2327</v>
      </c>
      <c r="O4" s="429" t="s">
        <v>2309</v>
      </c>
      <c r="P4" s="429"/>
      <c r="Q4" s="429">
        <v>88.319000000000003</v>
      </c>
      <c r="R4" s="429"/>
      <c r="S4" s="429"/>
      <c r="T4" s="429"/>
      <c r="U4" s="429"/>
      <c r="V4" s="429"/>
      <c r="W4" s="429"/>
    </row>
    <row r="5" spans="1:23">
      <c r="A5" s="429" t="s">
        <v>2328</v>
      </c>
      <c r="B5" s="429" t="s">
        <v>2329</v>
      </c>
      <c r="C5" s="429" t="s">
        <v>176</v>
      </c>
      <c r="D5" s="429"/>
      <c r="E5" s="429">
        <v>116.7</v>
      </c>
      <c r="F5" s="429"/>
      <c r="G5" s="429" t="s">
        <v>2330</v>
      </c>
      <c r="H5" s="429" t="s">
        <v>2331</v>
      </c>
      <c r="I5" s="429" t="s">
        <v>176</v>
      </c>
      <c r="J5" s="429"/>
      <c r="K5" s="429">
        <v>134.51</v>
      </c>
      <c r="L5" s="429"/>
      <c r="M5" s="429" t="s">
        <v>2332</v>
      </c>
      <c r="N5" s="429" t="s">
        <v>2333</v>
      </c>
      <c r="O5" s="429" t="s">
        <v>2309</v>
      </c>
      <c r="P5" s="429"/>
      <c r="Q5" s="429">
        <v>172.935</v>
      </c>
      <c r="R5" s="429"/>
      <c r="S5" s="429"/>
      <c r="T5" s="429"/>
      <c r="U5" s="429"/>
      <c r="V5" s="429"/>
      <c r="W5" s="429"/>
    </row>
    <row r="6" spans="1:23">
      <c r="A6" s="429" t="s">
        <v>2334</v>
      </c>
      <c r="B6" s="429" t="s">
        <v>2335</v>
      </c>
      <c r="C6" s="429" t="s">
        <v>176</v>
      </c>
      <c r="D6" s="429"/>
      <c r="E6" s="429">
        <v>126.71</v>
      </c>
      <c r="F6" s="429"/>
      <c r="G6" s="429" t="s">
        <v>2336</v>
      </c>
      <c r="H6" s="429" t="s">
        <v>2337</v>
      </c>
      <c r="I6" s="429" t="s">
        <v>176</v>
      </c>
      <c r="J6" s="429"/>
      <c r="K6" s="429">
        <v>154.77000000000001</v>
      </c>
      <c r="L6" s="429"/>
      <c r="M6" s="429" t="s">
        <v>2338</v>
      </c>
      <c r="N6" s="429" t="s">
        <v>2339</v>
      </c>
      <c r="O6" s="429" t="s">
        <v>2309</v>
      </c>
      <c r="P6" s="429"/>
      <c r="Q6" s="429">
        <v>255.983</v>
      </c>
      <c r="R6" s="429"/>
      <c r="S6" s="429"/>
      <c r="T6" s="429"/>
      <c r="U6" s="429"/>
      <c r="V6" s="429"/>
      <c r="W6" s="429"/>
    </row>
    <row r="7" spans="1:23">
      <c r="A7" s="429" t="s">
        <v>2340</v>
      </c>
      <c r="B7" s="429" t="s">
        <v>2341</v>
      </c>
      <c r="C7" s="429" t="s">
        <v>176</v>
      </c>
      <c r="D7" s="429"/>
      <c r="E7" s="429">
        <v>140.05000000000001</v>
      </c>
      <c r="F7" s="429"/>
      <c r="G7" s="429" t="s">
        <v>2342</v>
      </c>
      <c r="H7" s="429" t="s">
        <v>2343</v>
      </c>
      <c r="I7" s="429" t="s">
        <v>176</v>
      </c>
      <c r="J7" s="429"/>
      <c r="K7" s="429">
        <v>175.07</v>
      </c>
      <c r="L7" s="429"/>
      <c r="M7" s="429" t="s">
        <v>2344</v>
      </c>
      <c r="N7" s="429" t="s">
        <v>2345</v>
      </c>
      <c r="O7" s="429" t="s">
        <v>2309</v>
      </c>
      <c r="P7" s="429"/>
      <c r="Q7" s="429">
        <v>254.464</v>
      </c>
      <c r="R7" s="429"/>
      <c r="S7" s="429"/>
      <c r="T7" s="429"/>
      <c r="U7" s="429"/>
      <c r="V7" s="429"/>
      <c r="W7" s="429"/>
    </row>
    <row r="8" spans="1:23">
      <c r="A8" s="429" t="s">
        <v>2346</v>
      </c>
      <c r="B8" s="429" t="s">
        <v>2347</v>
      </c>
      <c r="C8" s="429" t="s">
        <v>176</v>
      </c>
      <c r="D8" s="429"/>
      <c r="E8" s="429">
        <v>175.06</v>
      </c>
      <c r="F8" s="429"/>
      <c r="G8" s="429" t="s">
        <v>2348</v>
      </c>
      <c r="H8" s="429" t="s">
        <v>2349</v>
      </c>
      <c r="I8" s="429" t="s">
        <v>176</v>
      </c>
      <c r="J8" s="429"/>
      <c r="K8" s="429">
        <v>195.28</v>
      </c>
      <c r="L8" s="429"/>
      <c r="M8" s="429" t="s">
        <v>2350</v>
      </c>
      <c r="N8" s="429" t="s">
        <v>2351</v>
      </c>
      <c r="O8" s="429" t="s">
        <v>2309</v>
      </c>
      <c r="P8" s="429"/>
      <c r="Q8" s="429">
        <v>374.35300000000001</v>
      </c>
      <c r="R8" s="429"/>
      <c r="S8" s="429"/>
      <c r="T8" s="429"/>
      <c r="U8" s="429"/>
      <c r="V8" s="429"/>
      <c r="W8" s="429"/>
    </row>
    <row r="9" spans="1:23">
      <c r="A9" s="429" t="s">
        <v>2352</v>
      </c>
      <c r="B9" s="429" t="s">
        <v>2353</v>
      </c>
      <c r="C9" s="429" t="s">
        <v>176</v>
      </c>
      <c r="D9" s="429"/>
      <c r="E9" s="429">
        <v>188.39</v>
      </c>
      <c r="F9" s="429"/>
      <c r="G9" s="429" t="s">
        <v>2354</v>
      </c>
      <c r="H9" s="429" t="s">
        <v>2355</v>
      </c>
      <c r="I9" s="429" t="s">
        <v>176</v>
      </c>
      <c r="J9" s="429"/>
      <c r="K9" s="429">
        <v>219.27</v>
      </c>
      <c r="L9" s="429"/>
      <c r="M9" s="429"/>
      <c r="N9" s="429"/>
      <c r="O9" s="429"/>
      <c r="P9" s="429"/>
      <c r="Q9" s="429"/>
      <c r="R9" s="429"/>
      <c r="S9" s="429"/>
      <c r="T9" s="429"/>
      <c r="U9" s="429"/>
      <c r="V9" s="429"/>
      <c r="W9" s="429"/>
    </row>
    <row r="10" spans="1:23">
      <c r="A10" s="429" t="s">
        <v>2356</v>
      </c>
      <c r="B10" s="429" t="s">
        <v>2357</v>
      </c>
      <c r="C10" s="429" t="s">
        <v>176</v>
      </c>
      <c r="D10" s="429"/>
      <c r="E10" s="429">
        <v>198.38</v>
      </c>
      <c r="F10" s="429"/>
      <c r="G10" s="429" t="s">
        <v>2358</v>
      </c>
      <c r="H10" s="429" t="s">
        <v>2359</v>
      </c>
      <c r="I10" s="429" t="s">
        <v>176</v>
      </c>
      <c r="J10" s="429"/>
      <c r="K10" s="429">
        <v>246.9</v>
      </c>
      <c r="L10" s="429"/>
      <c r="M10" s="429"/>
      <c r="N10" s="429"/>
      <c r="O10" s="429"/>
      <c r="P10" s="429"/>
      <c r="Q10" s="429"/>
      <c r="R10" s="429"/>
      <c r="S10" s="429"/>
      <c r="T10" s="429"/>
      <c r="U10" s="429"/>
      <c r="V10" s="429"/>
      <c r="W10" s="429"/>
    </row>
    <row r="11" spans="1:23">
      <c r="A11" s="429" t="s">
        <v>2360</v>
      </c>
      <c r="B11" s="429" t="s">
        <v>2361</v>
      </c>
      <c r="C11" s="429" t="s">
        <v>176</v>
      </c>
      <c r="D11" s="429"/>
      <c r="E11" s="429">
        <v>223.41</v>
      </c>
      <c r="F11" s="429"/>
      <c r="G11" s="429" t="s">
        <v>2362</v>
      </c>
      <c r="H11" s="429" t="s">
        <v>2363</v>
      </c>
      <c r="I11" s="429" t="s">
        <v>176</v>
      </c>
      <c r="J11" s="429"/>
      <c r="K11" s="429">
        <v>267.2</v>
      </c>
      <c r="L11" s="429"/>
      <c r="M11" s="429"/>
      <c r="N11" s="429"/>
      <c r="O11" s="429"/>
      <c r="P11" s="429"/>
      <c r="Q11" s="429"/>
      <c r="R11" s="429"/>
      <c r="S11" s="429"/>
      <c r="T11" s="429"/>
      <c r="U11" s="429"/>
      <c r="V11" s="429"/>
      <c r="W11" s="429"/>
    </row>
    <row r="12" spans="1:23">
      <c r="A12" s="429" t="s">
        <v>2364</v>
      </c>
      <c r="B12" s="429" t="s">
        <v>2365</v>
      </c>
      <c r="C12" s="429" t="s">
        <v>176</v>
      </c>
      <c r="D12" s="429"/>
      <c r="E12" s="429">
        <v>245.06</v>
      </c>
      <c r="F12" s="429"/>
      <c r="G12" s="429" t="s">
        <v>2366</v>
      </c>
      <c r="H12" s="429" t="s">
        <v>2367</v>
      </c>
      <c r="I12" s="429" t="s">
        <v>176</v>
      </c>
      <c r="J12" s="429"/>
      <c r="K12" s="429">
        <v>287.41000000000003</v>
      </c>
      <c r="L12" s="429"/>
      <c r="M12" s="429"/>
      <c r="N12" s="429"/>
      <c r="O12" s="429"/>
      <c r="P12" s="429"/>
      <c r="Q12" s="429"/>
      <c r="R12" s="429"/>
      <c r="S12" s="429"/>
      <c r="T12" s="429"/>
      <c r="U12" s="429"/>
      <c r="V12" s="429"/>
      <c r="W12" s="429"/>
    </row>
    <row r="13" spans="1:23">
      <c r="A13" s="429" t="s">
        <v>2368</v>
      </c>
      <c r="B13" s="429" t="s">
        <v>2369</v>
      </c>
      <c r="C13" s="429" t="s">
        <v>176</v>
      </c>
      <c r="D13" s="429"/>
      <c r="E13" s="429">
        <v>258.41000000000003</v>
      </c>
      <c r="F13" s="429"/>
      <c r="G13" s="429" t="s">
        <v>2370</v>
      </c>
      <c r="H13" s="429" t="s">
        <v>2371</v>
      </c>
      <c r="I13" s="429" t="s">
        <v>176</v>
      </c>
      <c r="J13" s="429"/>
      <c r="K13" s="429">
        <v>309.52999999999997</v>
      </c>
      <c r="L13" s="429"/>
      <c r="M13" s="429"/>
      <c r="N13" s="429"/>
      <c r="O13" s="429"/>
      <c r="P13" s="429"/>
      <c r="Q13" s="429"/>
      <c r="R13" s="429"/>
      <c r="S13" s="429"/>
      <c r="T13" s="429"/>
      <c r="U13" s="429"/>
      <c r="V13" s="429"/>
      <c r="W13" s="429"/>
    </row>
    <row r="14" spans="1:23">
      <c r="A14" s="429" t="s">
        <v>2372</v>
      </c>
      <c r="B14" s="429" t="s">
        <v>2373</v>
      </c>
      <c r="C14" s="429" t="s">
        <v>176</v>
      </c>
      <c r="D14" s="429"/>
      <c r="E14" s="429">
        <v>273.39</v>
      </c>
      <c r="F14" s="429"/>
      <c r="G14" s="429" t="s">
        <v>2374</v>
      </c>
      <c r="H14" s="429" t="s">
        <v>2375</v>
      </c>
      <c r="I14" s="429" t="s">
        <v>176</v>
      </c>
      <c r="J14" s="429"/>
      <c r="K14" s="429">
        <v>329.79</v>
      </c>
      <c r="L14" s="429"/>
      <c r="M14" s="429"/>
      <c r="N14" s="429"/>
      <c r="O14" s="429"/>
      <c r="P14" s="429"/>
      <c r="Q14" s="429"/>
      <c r="R14" s="429"/>
      <c r="S14" s="429"/>
      <c r="T14" s="429"/>
      <c r="U14" s="429"/>
      <c r="V14" s="429"/>
      <c r="W14" s="429"/>
    </row>
    <row r="15" spans="1:23">
      <c r="A15" s="429" t="s">
        <v>2376</v>
      </c>
      <c r="B15" s="429" t="s">
        <v>2377</v>
      </c>
      <c r="C15" s="429" t="s">
        <v>176</v>
      </c>
      <c r="D15" s="429"/>
      <c r="E15" s="429">
        <v>285.05</v>
      </c>
      <c r="F15" s="429"/>
      <c r="G15" s="429" t="s">
        <v>2378</v>
      </c>
      <c r="H15" s="429" t="s">
        <v>2379</v>
      </c>
      <c r="I15" s="429" t="s">
        <v>176</v>
      </c>
      <c r="J15" s="429"/>
      <c r="K15" s="429">
        <v>351.91</v>
      </c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</row>
    <row r="16" spans="1:23">
      <c r="A16" s="429" t="s">
        <v>2380</v>
      </c>
      <c r="B16" s="429" t="s">
        <v>2381</v>
      </c>
      <c r="C16" s="429" t="s">
        <v>176</v>
      </c>
      <c r="D16" s="429"/>
      <c r="E16" s="429">
        <v>318.42</v>
      </c>
      <c r="F16" s="429"/>
      <c r="G16" s="429" t="s">
        <v>2382</v>
      </c>
      <c r="H16" s="429" t="s">
        <v>2383</v>
      </c>
      <c r="I16" s="429" t="s">
        <v>176</v>
      </c>
      <c r="J16" s="429"/>
      <c r="K16" s="429">
        <v>375.9</v>
      </c>
      <c r="L16" s="429"/>
      <c r="M16" s="429"/>
      <c r="N16" s="429"/>
      <c r="O16" s="429"/>
      <c r="P16" s="429"/>
      <c r="Q16" s="429"/>
      <c r="R16" s="429"/>
      <c r="S16" s="429"/>
      <c r="T16" s="429"/>
      <c r="U16" s="429"/>
      <c r="V16" s="429"/>
      <c r="W16" s="429"/>
    </row>
    <row r="17" spans="1:25">
      <c r="A17" s="429" t="s">
        <v>2384</v>
      </c>
      <c r="B17" s="429" t="s">
        <v>2385</v>
      </c>
      <c r="C17" s="429" t="s">
        <v>176</v>
      </c>
      <c r="D17" s="429"/>
      <c r="E17" s="429">
        <v>351.74</v>
      </c>
      <c r="F17" s="429"/>
      <c r="G17" s="429" t="s">
        <v>2386</v>
      </c>
      <c r="H17" s="429" t="s">
        <v>2387</v>
      </c>
      <c r="I17" s="429" t="s">
        <v>176</v>
      </c>
      <c r="J17" s="429"/>
      <c r="K17" s="429">
        <v>392.47</v>
      </c>
      <c r="L17" s="429"/>
      <c r="M17" s="429"/>
      <c r="N17" s="429"/>
      <c r="O17" s="429"/>
      <c r="P17" s="429"/>
      <c r="Q17" s="429"/>
      <c r="R17" s="429"/>
      <c r="S17" s="429"/>
      <c r="T17" s="429"/>
      <c r="U17" s="429"/>
      <c r="V17" s="429"/>
      <c r="W17" s="429"/>
    </row>
    <row r="18" spans="1:25">
      <c r="A18" s="429" t="s">
        <v>2388</v>
      </c>
      <c r="B18" s="429" t="s">
        <v>2389</v>
      </c>
      <c r="C18" s="429" t="s">
        <v>176</v>
      </c>
      <c r="D18" s="429"/>
      <c r="E18" s="429">
        <v>365.09</v>
      </c>
      <c r="F18" s="429"/>
      <c r="G18" s="429" t="s">
        <v>2390</v>
      </c>
      <c r="H18" s="429" t="s">
        <v>2391</v>
      </c>
      <c r="I18" s="429" t="s">
        <v>176</v>
      </c>
      <c r="J18" s="429"/>
      <c r="K18" s="429">
        <v>429.34</v>
      </c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29"/>
    </row>
    <row r="19" spans="1:25">
      <c r="A19" s="429" t="s">
        <v>2392</v>
      </c>
      <c r="B19" s="429" t="s">
        <v>2393</v>
      </c>
      <c r="C19" s="429" t="s">
        <v>176</v>
      </c>
      <c r="D19" s="429"/>
      <c r="E19" s="429">
        <v>375.08</v>
      </c>
      <c r="F19" s="429"/>
      <c r="G19" s="429" t="s">
        <v>2394</v>
      </c>
      <c r="H19" s="429" t="s">
        <v>2395</v>
      </c>
      <c r="I19" s="429" t="s">
        <v>176</v>
      </c>
      <c r="J19" s="429"/>
      <c r="K19" s="429">
        <v>469.85</v>
      </c>
      <c r="L19" s="429"/>
      <c r="M19" s="429"/>
      <c r="N19" s="429"/>
      <c r="O19" s="429"/>
      <c r="P19" s="429"/>
      <c r="Q19" s="429"/>
      <c r="R19" s="429"/>
      <c r="S19" s="429"/>
      <c r="T19" s="429"/>
      <c r="U19" s="429"/>
      <c r="V19" s="429"/>
      <c r="W19" s="429"/>
    </row>
    <row r="20" spans="1:25">
      <c r="A20" s="429" t="s">
        <v>2396</v>
      </c>
      <c r="B20" s="429" t="s">
        <v>2397</v>
      </c>
      <c r="C20" s="429" t="s">
        <v>176</v>
      </c>
      <c r="D20" s="429"/>
      <c r="E20" s="429">
        <v>386.76</v>
      </c>
      <c r="F20" s="429"/>
      <c r="G20" s="429" t="s">
        <v>2398</v>
      </c>
      <c r="H20" s="429" t="s">
        <v>2399</v>
      </c>
      <c r="I20" s="429" t="s">
        <v>176</v>
      </c>
      <c r="J20" s="429"/>
      <c r="K20" s="429">
        <v>515.91999999999996</v>
      </c>
      <c r="L20" s="429"/>
      <c r="M20" s="429"/>
      <c r="N20" s="429"/>
      <c r="O20" s="429"/>
      <c r="P20" s="429"/>
      <c r="Q20" s="429"/>
      <c r="R20" s="429"/>
      <c r="S20" s="429"/>
      <c r="T20" s="429"/>
      <c r="U20" s="429"/>
      <c r="V20" s="429"/>
      <c r="W20" s="429"/>
    </row>
    <row r="21" spans="1:25">
      <c r="A21" s="429" t="s">
        <v>2400</v>
      </c>
      <c r="B21" s="429" t="s">
        <v>2401</v>
      </c>
      <c r="C21" s="429" t="s">
        <v>176</v>
      </c>
      <c r="D21" s="429"/>
      <c r="E21" s="429">
        <v>400.09</v>
      </c>
      <c r="F21" s="429"/>
      <c r="G21" s="429" t="s">
        <v>2402</v>
      </c>
      <c r="H21" s="429" t="s">
        <v>2403</v>
      </c>
      <c r="I21" s="429" t="s">
        <v>176</v>
      </c>
      <c r="J21" s="429"/>
      <c r="K21" s="429">
        <v>563.80999999999995</v>
      </c>
      <c r="L21" s="429"/>
      <c r="M21" s="429"/>
      <c r="N21" s="429"/>
      <c r="O21" s="429"/>
      <c r="P21" s="429"/>
      <c r="Q21" s="429"/>
      <c r="R21" s="429"/>
      <c r="S21" s="429"/>
      <c r="T21" s="429"/>
      <c r="U21" s="429"/>
      <c r="V21" s="429"/>
      <c r="W21" s="429"/>
    </row>
    <row r="22" spans="1:25" s="425" customFormat="1">
      <c r="A22" s="429" t="s">
        <v>2404</v>
      </c>
      <c r="B22" s="429" t="s">
        <v>2405</v>
      </c>
      <c r="C22" s="429" t="s">
        <v>176</v>
      </c>
      <c r="D22" s="429"/>
      <c r="E22" s="429">
        <v>421.76</v>
      </c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  <c r="V22" s="429"/>
      <c r="W22" s="429"/>
      <c r="Y22" s="426"/>
    </row>
    <row r="23" spans="1:25">
      <c r="A23" s="429" t="s">
        <v>2406</v>
      </c>
      <c r="B23" s="429" t="s">
        <v>2407</v>
      </c>
      <c r="C23" s="429" t="s">
        <v>176</v>
      </c>
      <c r="D23" s="429"/>
      <c r="E23" s="429">
        <v>448.43</v>
      </c>
      <c r="F23" s="429"/>
      <c r="G23" s="429"/>
      <c r="H23" s="429"/>
      <c r="I23" s="429"/>
      <c r="J23" s="429"/>
      <c r="K23" s="429"/>
      <c r="L23" s="429"/>
      <c r="M23" s="429"/>
      <c r="N23" s="429"/>
      <c r="O23" s="429"/>
      <c r="P23" s="429"/>
      <c r="Q23" s="429"/>
      <c r="R23" s="429"/>
      <c r="S23" s="429"/>
      <c r="T23" s="429"/>
      <c r="U23" s="429"/>
      <c r="V23" s="429"/>
      <c r="W23" s="429"/>
      <c r="Y23" s="416"/>
    </row>
    <row r="24" spans="1:25">
      <c r="A24" s="429" t="s">
        <v>2408</v>
      </c>
      <c r="B24" s="429" t="s">
        <v>2409</v>
      </c>
      <c r="C24" s="429" t="s">
        <v>176</v>
      </c>
      <c r="D24" s="429"/>
      <c r="E24" s="429">
        <v>468.44</v>
      </c>
      <c r="F24" s="429"/>
      <c r="G24" s="429"/>
      <c r="H24" s="429"/>
      <c r="I24" s="429"/>
      <c r="J24" s="429"/>
      <c r="K24" s="429"/>
      <c r="L24" s="429"/>
      <c r="M24" s="429"/>
      <c r="N24" s="429"/>
      <c r="O24" s="429"/>
      <c r="P24" s="429"/>
      <c r="Q24" s="429"/>
      <c r="R24" s="429"/>
      <c r="S24" s="429"/>
      <c r="T24" s="429"/>
      <c r="U24" s="429"/>
      <c r="V24" s="429"/>
      <c r="W24" s="429"/>
      <c r="Y24" s="416"/>
    </row>
    <row r="25" spans="1:25">
      <c r="A25" s="429" t="s">
        <v>2410</v>
      </c>
      <c r="B25" s="429" t="s">
        <v>2411</v>
      </c>
      <c r="C25" s="429" t="s">
        <v>176</v>
      </c>
      <c r="D25" s="429"/>
      <c r="E25" s="429">
        <v>495.13</v>
      </c>
      <c r="F25" s="429"/>
      <c r="G25" s="429"/>
      <c r="H25" s="429"/>
      <c r="I25" s="429"/>
      <c r="J25" s="429"/>
      <c r="K25" s="429"/>
      <c r="L25" s="429"/>
      <c r="M25" s="429"/>
      <c r="N25" s="429"/>
      <c r="O25" s="429"/>
      <c r="P25" s="429"/>
      <c r="Q25" s="429"/>
      <c r="R25" s="429"/>
      <c r="S25" s="429"/>
      <c r="T25" s="429"/>
      <c r="U25" s="429"/>
      <c r="V25" s="429"/>
      <c r="W25" s="429"/>
      <c r="Y25" s="416"/>
    </row>
    <row r="26" spans="1:25">
      <c r="A26" s="429" t="s">
        <v>2412</v>
      </c>
      <c r="B26" s="429" t="s">
        <v>2413</v>
      </c>
      <c r="C26" s="429" t="s">
        <v>176</v>
      </c>
      <c r="D26" s="429"/>
      <c r="E26" s="429">
        <v>538.45000000000005</v>
      </c>
      <c r="F26" s="429"/>
      <c r="G26" s="429"/>
      <c r="H26" s="429"/>
      <c r="I26" s="429"/>
      <c r="J26" s="429"/>
      <c r="K26" s="429"/>
      <c r="L26" s="429"/>
      <c r="M26" s="429"/>
      <c r="N26" s="429"/>
      <c r="O26" s="429"/>
      <c r="P26" s="429"/>
      <c r="Q26" s="429"/>
      <c r="R26" s="429"/>
      <c r="S26" s="429"/>
      <c r="T26" s="429"/>
      <c r="U26" s="429"/>
      <c r="V26" s="429"/>
      <c r="W26" s="429"/>
    </row>
    <row r="27" spans="1:25">
      <c r="A27" s="429" t="s">
        <v>2414</v>
      </c>
      <c r="B27" s="429" t="s">
        <v>2415</v>
      </c>
      <c r="C27" s="429" t="s">
        <v>176</v>
      </c>
      <c r="D27" s="429"/>
      <c r="E27" s="429">
        <v>570.13</v>
      </c>
      <c r="F27" s="429"/>
      <c r="G27" s="429"/>
      <c r="H27" s="429"/>
      <c r="I27" s="429"/>
      <c r="J27" s="429"/>
      <c r="K27" s="429"/>
      <c r="L27" s="429"/>
      <c r="M27" s="429"/>
      <c r="N27" s="429"/>
      <c r="O27" s="429"/>
      <c r="P27" s="429"/>
      <c r="Q27" s="429"/>
      <c r="R27" s="429"/>
      <c r="S27" s="429"/>
      <c r="T27" s="429"/>
      <c r="U27" s="429"/>
      <c r="V27" s="429"/>
      <c r="W27" s="429"/>
    </row>
    <row r="28" spans="1:25">
      <c r="A28" s="429" t="s">
        <v>2416</v>
      </c>
      <c r="B28" s="429" t="s">
        <v>2417</v>
      </c>
      <c r="C28" s="429" t="s">
        <v>176</v>
      </c>
      <c r="D28" s="429"/>
      <c r="E28" s="429">
        <v>605.13</v>
      </c>
      <c r="F28" s="429"/>
      <c r="G28" s="429"/>
      <c r="H28" s="429"/>
      <c r="I28" s="429"/>
      <c r="J28" s="429"/>
      <c r="K28" s="429"/>
      <c r="L28" s="429"/>
      <c r="M28" s="429"/>
      <c r="N28" s="429"/>
      <c r="O28" s="429"/>
      <c r="P28" s="429"/>
      <c r="Q28" s="429"/>
      <c r="R28" s="429"/>
      <c r="S28" s="429"/>
      <c r="T28" s="429"/>
      <c r="U28" s="429"/>
      <c r="V28" s="429"/>
      <c r="W28" s="429"/>
    </row>
    <row r="29" spans="1:25">
      <c r="A29" s="429" t="s">
        <v>2418</v>
      </c>
      <c r="B29" s="429" t="s">
        <v>2419</v>
      </c>
      <c r="C29" s="429" t="s">
        <v>176</v>
      </c>
      <c r="D29" s="429"/>
      <c r="E29" s="429">
        <v>641.82000000000005</v>
      </c>
      <c r="F29" s="429"/>
      <c r="G29" s="429"/>
      <c r="H29" s="429"/>
      <c r="I29" s="429"/>
      <c r="J29" s="429"/>
      <c r="K29" s="429"/>
      <c r="L29" s="429"/>
      <c r="M29" s="429"/>
      <c r="N29" s="429"/>
      <c r="O29" s="429"/>
      <c r="P29" s="429"/>
      <c r="Q29" s="429"/>
      <c r="R29" s="429"/>
      <c r="S29" s="429"/>
      <c r="T29" s="429"/>
      <c r="U29" s="429"/>
      <c r="V29" s="429"/>
      <c r="W29" s="429"/>
    </row>
    <row r="30" spans="1:25">
      <c r="A30" s="429" t="s">
        <v>2420</v>
      </c>
      <c r="B30" s="429" t="s">
        <v>2421</v>
      </c>
      <c r="C30" s="429" t="s">
        <v>176</v>
      </c>
      <c r="D30" s="429"/>
      <c r="E30" s="429">
        <v>680.17</v>
      </c>
      <c r="F30" s="429"/>
      <c r="G30" s="429"/>
      <c r="H30" s="429"/>
      <c r="I30" s="429"/>
      <c r="J30" s="429"/>
      <c r="K30" s="429"/>
      <c r="L30" s="429"/>
      <c r="M30" s="429"/>
      <c r="N30" s="429"/>
      <c r="O30" s="429"/>
      <c r="P30" s="429"/>
      <c r="Q30" s="429"/>
      <c r="R30" s="429"/>
      <c r="S30" s="429"/>
      <c r="T30" s="429"/>
      <c r="U30" s="429"/>
      <c r="V30" s="429"/>
      <c r="W30" s="429"/>
    </row>
    <row r="31" spans="1:25">
      <c r="A31" s="429" t="s">
        <v>2422</v>
      </c>
      <c r="B31" s="429" t="s">
        <v>2423</v>
      </c>
      <c r="C31" s="429" t="s">
        <v>176</v>
      </c>
      <c r="D31" s="429"/>
      <c r="E31" s="429">
        <v>720.17</v>
      </c>
      <c r="F31" s="429"/>
      <c r="G31" s="429"/>
      <c r="H31" s="429"/>
      <c r="I31" s="429"/>
      <c r="J31" s="429"/>
      <c r="K31" s="429"/>
      <c r="L31" s="429"/>
      <c r="M31" s="429"/>
      <c r="N31" s="429"/>
      <c r="O31" s="429"/>
      <c r="P31" s="429"/>
      <c r="Q31" s="429"/>
      <c r="R31" s="429"/>
      <c r="S31" s="429"/>
      <c r="T31" s="429"/>
      <c r="U31" s="429"/>
      <c r="V31" s="429"/>
      <c r="W31" s="429"/>
    </row>
    <row r="32" spans="1:25">
      <c r="A32" s="429" t="s">
        <v>2424</v>
      </c>
      <c r="B32" s="429" t="s">
        <v>2425</v>
      </c>
      <c r="C32" s="429" t="s">
        <v>176</v>
      </c>
      <c r="D32" s="429"/>
      <c r="E32" s="429">
        <v>763.54</v>
      </c>
      <c r="F32" s="429"/>
      <c r="G32" s="429"/>
      <c r="H32" s="429"/>
      <c r="I32" s="429"/>
      <c r="J32" s="429"/>
      <c r="K32" s="429"/>
      <c r="L32" s="429"/>
      <c r="M32" s="429"/>
      <c r="N32" s="429"/>
      <c r="O32" s="429"/>
      <c r="P32" s="429"/>
      <c r="Q32" s="429"/>
      <c r="R32" s="429"/>
      <c r="S32" s="429"/>
      <c r="T32" s="429"/>
      <c r="U32" s="429"/>
      <c r="V32" s="429"/>
      <c r="W32" s="429"/>
    </row>
    <row r="33" spans="1:23">
      <c r="A33" s="429"/>
      <c r="B33" s="429"/>
      <c r="C33" s="429"/>
      <c r="D33" s="429"/>
      <c r="E33" s="429"/>
      <c r="F33" s="429"/>
      <c r="G33" s="429"/>
      <c r="H33" s="429"/>
      <c r="I33" s="429"/>
      <c r="J33" s="429"/>
      <c r="K33" s="429"/>
      <c r="L33" s="429"/>
      <c r="M33" s="429"/>
      <c r="N33" s="429"/>
      <c r="O33" s="429"/>
      <c r="P33" s="429"/>
      <c r="Q33" s="429"/>
      <c r="R33" s="429"/>
      <c r="S33" s="429"/>
      <c r="T33" s="429"/>
      <c r="U33" s="429"/>
      <c r="V33" s="429"/>
      <c r="W33" s="429"/>
    </row>
    <row r="34" spans="1:23">
      <c r="A34" s="429"/>
      <c r="B34"/>
      <c r="C34"/>
      <c r="D34"/>
      <c r="E34"/>
      <c r="F34"/>
      <c r="G34" s="429"/>
      <c r="H34" s="429"/>
      <c r="I34" s="429"/>
      <c r="J34" s="429"/>
      <c r="K34" s="429"/>
      <c r="L34" s="429"/>
      <c r="M34" s="429"/>
      <c r="N34" s="429"/>
      <c r="O34" s="429"/>
      <c r="P34" s="429"/>
      <c r="Q34" s="429"/>
      <c r="R34" s="429"/>
      <c r="S34" s="429"/>
      <c r="T34" s="429"/>
      <c r="U34" s="429"/>
      <c r="V34" s="429"/>
      <c r="W34" s="429"/>
    </row>
    <row r="35" spans="1:23">
      <c r="A35" s="429"/>
      <c r="B35" t="s">
        <v>0</v>
      </c>
      <c r="C35" t="s">
        <v>102</v>
      </c>
      <c r="D35" t="s">
        <v>98</v>
      </c>
      <c r="E35" t="s">
        <v>2230</v>
      </c>
      <c r="F35" t="s">
        <v>78</v>
      </c>
      <c r="G35" s="429"/>
      <c r="I35" s="429"/>
      <c r="J35" s="429"/>
      <c r="K35" s="429" t="str">
        <f>IF(OR(B35="",I35=""),"",N(Enginuity!$B$9)*I35)</f>
        <v/>
      </c>
      <c r="L35" s="429"/>
      <c r="M35" s="429"/>
      <c r="N35" s="429"/>
      <c r="O35" s="429"/>
      <c r="P35" s="429"/>
      <c r="Q35" s="429"/>
      <c r="R35" s="429"/>
      <c r="S35" s="429"/>
      <c r="T35" s="429"/>
      <c r="U35" s="429"/>
      <c r="V35" s="429"/>
      <c r="W35" s="429"/>
    </row>
    <row r="36" spans="1:23">
      <c r="A36" s="429"/>
      <c r="B36" t="str">
        <f>IF(LEFT(UPPER(TRIM(SUBSTITUTE(Enginuity!$A$21,CHAR(160)," "))),8)&lt;&gt;"BREEZWAY","",_xlfn.LET(_xlpm.sel,TRIM(SUBSTITUTE(Enginuity!$A$21,CHAR(160)," ")),_xlpm.clip,IF(ISNUMBER(SEARCH("102mm",_xlpm.sel)),102,152),_xlpm.h,N(Enginuity!$B$7)*304.8,_xlpm.blades,IF(_xlpm.clip=102,MIN(33,3+ROUNDUP(MAX(0,(_xlpm.h-150-310)/90),0)),MIN(21,2+ROUNDUP(MAX(0,(_xlpm.h-150-320)/140),0))),_xlpm.code,IF(_xlpm.clip=102,"BW102-"&amp;TEXT(_xlpm.blades,"00"),"BW152-"&amp;TEXT(_xlpm.blades,"00")),IF(_xlpm.clip=102,_xlfn.XLOOKUP(_xlpm.code,$A$2:$A$32,$B$2:$B$32,""),_xlfn.XLOOKUP(_xlpm.code,$G$2:$G$21,$H$2:$H$21,""))))</f>
        <v>102mm Adjustable Gallery - 25 Blades - 2290mm</v>
      </c>
      <c r="C36" t="str">
        <f>IF($B$36="","","Set")</f>
        <v>Set</v>
      </c>
      <c r="D36">
        <f>IF($B$36="","",MAX(1,ROUNDUP(N(Enginuity!$B$13),0)))</f>
        <v>4</v>
      </c>
      <c r="E36" s="5">
        <f>IF($B$36="","",_xlfn.LET(_xlpm.sel,TRIM(SUBSTITUTE(Enginuity!$A$21,CHAR(160)," ")),_xlpm.clip,IF(ISNUMBER(SEARCH("102mm",_xlpm.sel)),102,152),_xlpm.h,N(Enginuity!$B$7)*304.8,_xlpm.blades,IF(_xlpm.clip=102,MIN(33,3+ROUNDUP(MAX(0,(_xlpm.h-150-310)/90),0)),MIN(21,2+ROUNDUP(MAX(0,(_xlpm.h-150-320)/140),0))),_xlpm.code,IF(_xlpm.clip=102,"BW102-"&amp;TEXT(_xlpm.blades,"00"),"BW152-"&amp;TEXT(_xlpm.blades,"00")),IF(_xlpm.clip=102,_xlfn.XLOOKUP(_xlpm.code,$A$2:$A$32,$E$2:$E$32,""),_xlfn.XLOOKUP(_xlpm.code,$G$2:$G$21,$K$2:$K$21,""))))</f>
        <v>468.44</v>
      </c>
      <c r="F36" s="5">
        <f>IF(OR($D$36="",$E$36=""),"",$D$36*$E$36)</f>
        <v>1873.76</v>
      </c>
      <c r="G36" s="429"/>
      <c r="H36" s="429"/>
      <c r="I36" s="429"/>
      <c r="J36" s="429"/>
      <c r="K36" s="429"/>
      <c r="L36" s="429"/>
      <c r="M36" s="429"/>
      <c r="N36" s="429"/>
      <c r="O36" s="429"/>
      <c r="P36" s="429"/>
      <c r="Q36" s="429"/>
      <c r="R36" s="429"/>
      <c r="S36" s="429"/>
      <c r="T36" s="429"/>
      <c r="U36" s="429"/>
      <c r="V36" s="429"/>
      <c r="W36" s="429"/>
    </row>
    <row r="37" spans="1:23">
      <c r="A37" s="429"/>
      <c r="B37" t="str">
        <f>IF($B$36="","",_xlfn.LET(_xlpm.sel,TRIM(SUBSTITUTE(Enginuity!$A$21,CHAR(160)," ")),_xlpm.clip,IF(ISNUMBER(SEARCH("102mm",_xlpm.sel)),102,152),_xlpm.code,IF(_xlpm.clip=102,IF(ISNUMBER(SEARCH(" WG",_xlpm.sel)),"BW-AB102-WG","BW-AB102-STD"),IF(ISNUMBER(SEARCH(" WG",_xlpm.sel)),"BW-AB152-WG","BW-AB152-STD")),IF(ISNUMBER(SEARCH("Glass Infill",_xlpm.sel)),_xlpm.clip&amp;"mm Glass Blade - "&amp;TRIM(Enginuity!$A$20),_xlfn.XLOOKUP(_xlpm.code,$M$2:$M$8,$N$2:$N$8,""))))</f>
        <v>102mm Glass Blade - Default</v>
      </c>
      <c r="C37" t="str">
        <f>IF($B$37="","",IF(ISNUMBER(SEARCH("Glass Blade",$B$37)),"Pcs","Length"))</f>
        <v>Pcs</v>
      </c>
      <c r="D37">
        <f>IF($B$37="","",_xlfn.LET(_xlpm.sel,TRIM(SUBSTITUTE(Enginuity!$A$21,CHAR(160)," ")),_xlpm.clip,IF(ISNUMBER(SEARCH("102mm",_xlpm.sel)),102,152),_xlpm.p,MAX(1,ROUNDUP(N(Enginuity!$B$13),0)),_xlpm.h,N(Enginuity!$B$7)*304.8,_xlpm.blades,IF(_xlpm.clip=102,MIN(33,3+ROUNDUP(MAX(0,(_xlpm.h-150-310)/90),0)),MIN(21,2+ROUNDUP(MAX(0,(_xlpm.h-150-320)/140),0))),_xlpm.pieces,_xlpm.blades*_xlpm.p,_xlpm.cut,(N(Enginuity!$B$6)*304.8-(_xlpm.p+1)*25.4)/_xlpm.p,_xlpm.perStock,IF(_xlpm.cut&gt;0,INT(2900/_xlpm.cut),0),IF(ISNUMBER(SEARCH("Glass Infill",_xlpm.sel)),_xlpm.pieces,IF(_xlpm.perStock&lt;1,"",CEILING(_xlpm.pieces/_xlpm.perStock,1)))))</f>
        <v>100</v>
      </c>
      <c r="E37" s="5">
        <f>IF($B$37="","",_xlfn.LET(_xlpm.sel,TRIM(SUBSTITUTE(Enginuity!$A$21,CHAR(160)," ")),_xlpm.clip,IF(ISNUMBER(SEARCH("102mm",_xlpm.sel)),102,152),_xlpm.p,MAX(1,ROUNDUP(N(Enginuity!$B$13),0)),_xlpm.cut,(N(Enginuity!$B$6)*304.8-(_xlpm.p+1)*25.4)/_xlpm.p,_xlpm.infillRate,_xlfn.XLOOKUP(TRIM(Enginuity!$A$20),CostData!$P$3:$P$12,CostData!$Q$3:$Q$12,""),_xlpm.code,IF(_xlpm.clip=102,IF(ISNUMBER(SEARCH(" WG",_xlpm.sel)),"BW-AB102-WG","BW-AB102-STD"),IF(ISNUMBER(SEARCH(" WG",_xlpm.sel)),"BW-AB152-WG","BW-AB152-STD")),IF(ISNUMBER(SEARCH("Glass Infill",_xlpm.sel)),MAX(2,(_xlpm.cut/304.8)*(_xlpm.clip/304.8))*_xlpm.infillRate,_xlfn.XLOOKUP(_xlpm.code,$M$2:$M$8,$Q$2:$Q$8,""))))</f>
        <v>7.8</v>
      </c>
      <c r="F37" s="5">
        <f>IF(OR($D$37="",$E$37=""),"",$D$37*$E$37)</f>
        <v>780</v>
      </c>
      <c r="G37" s="429"/>
      <c r="H37" s="429"/>
      <c r="I37" s="429"/>
      <c r="J37" s="429"/>
      <c r="K37" s="429"/>
      <c r="L37" s="429"/>
      <c r="M37" s="429"/>
      <c r="N37" s="429"/>
      <c r="O37" s="429"/>
      <c r="P37" s="429"/>
      <c r="Q37" s="429"/>
      <c r="R37" s="429"/>
      <c r="S37" s="429"/>
      <c r="T37" s="429"/>
      <c r="U37" s="429"/>
      <c r="V37" s="429"/>
      <c r="W37" s="429"/>
    </row>
    <row r="38" spans="1:23">
      <c r="A38" s="429"/>
      <c r="B38" t="str">
        <f>IF($B$36="","","Altair Weatherstrip Extrusion 3m")</f>
        <v>Altair Weatherstrip Extrusion 3m</v>
      </c>
      <c r="C38" t="str">
        <f>IF($B$38="","","Length")</f>
        <v>Length</v>
      </c>
      <c r="D38">
        <f>IF($B$38="","",_xlfn.LET(_xlpm.p,MAX(1,ROUNDUP(N(Enginuity!$B$13),0)),_xlpm.cut,N(Enginuity!$B$6)*304.8/_xlpm.p,_xlpm.perStock,IF(_xlpm.cut&gt;0,INT(3000/_xlpm.cut),0),IF(_xlpm.perStock&lt;1,"",CEILING((_xlpm.p*2)/_xlpm.perStock,1))))</f>
        <v>2</v>
      </c>
      <c r="E38" s="5">
        <f>IF($B$38="","",_xlfn.XLOOKUP("BW-WE-3M",$M$2:$M$8,$Q$2:$Q$8,""))</f>
        <v>92.533000000000001</v>
      </c>
      <c r="F38" s="5">
        <f>IF(OR($D$38="",$E$38=""),"",$D$38*$E$38)</f>
        <v>185.066</v>
      </c>
      <c r="G38" s="429"/>
      <c r="H38" s="429"/>
      <c r="I38" s="429"/>
      <c r="J38" s="429"/>
      <c r="K38" s="429"/>
      <c r="L38" s="429"/>
      <c r="M38" s="429"/>
      <c r="N38" s="429"/>
      <c r="O38" s="429"/>
      <c r="P38" s="429"/>
      <c r="Q38" s="429"/>
      <c r="R38" s="429"/>
      <c r="S38" s="429"/>
      <c r="T38" s="429"/>
      <c r="U38" s="429"/>
      <c r="V38" s="429"/>
      <c r="W38" s="429"/>
    </row>
    <row r="39" spans="1:23">
      <c r="A39" s="429"/>
      <c r="B39" t="str">
        <f>IF($B$36="","","Altair Weatherstrip Insert 3m")</f>
        <v>Altair Weatherstrip Insert 3m</v>
      </c>
      <c r="C39" t="str">
        <f>IF($B$39="","","Length")</f>
        <v>Length</v>
      </c>
      <c r="D39">
        <f>IF($B$39="","",$D$38)</f>
        <v>2</v>
      </c>
      <c r="E39" s="5">
        <f>IF($B$39="","",_xlfn.XLOOKUP("BW-WI-3M",$M$2:$M$8,$Q$2:$Q$8,""))</f>
        <v>89.131</v>
      </c>
      <c r="F39" s="5">
        <f>IF(OR($D$39="",$E$39=""),"",$D$39*$E$39)</f>
        <v>178.262</v>
      </c>
      <c r="G39" s="429"/>
      <c r="H39" s="429"/>
      <c r="I39" s="429"/>
      <c r="J39" s="429"/>
      <c r="K39" s="429"/>
      <c r="L39" s="429"/>
      <c r="M39" s="429"/>
      <c r="N39" s="429"/>
      <c r="O39" s="429"/>
      <c r="P39" s="429"/>
      <c r="Q39" s="429"/>
      <c r="R39" s="429"/>
      <c r="S39" s="429"/>
      <c r="T39" s="429"/>
      <c r="U39" s="429"/>
      <c r="V39" s="429"/>
      <c r="W39" s="429"/>
    </row>
    <row r="40" spans="1:23">
      <c r="A40" s="429"/>
      <c r="B40" t="str">
        <f>IF($B$36="","","Breezway Insert Total")</f>
        <v>Breezway Insert Total</v>
      </c>
      <c r="C40" t="str">
        <f>IF($B$40="","","Set")</f>
        <v>Set</v>
      </c>
      <c r="D40">
        <f>IF($B$40="","",1)</f>
        <v>1</v>
      </c>
      <c r="E40" s="5">
        <f>IF($B$40="","",SUM($F$36:$F$39))</f>
        <v>3017.0880000000002</v>
      </c>
      <c r="F40" s="5">
        <f>IF(OR($D$40="",$E$40=""),"",$D$40*$E$40)</f>
        <v>3017.0880000000002</v>
      </c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29"/>
      <c r="V40" s="429"/>
      <c r="W40" s="429"/>
    </row>
    <row r="41" spans="1:23">
      <c r="A41" s="424"/>
      <c r="D41"/>
      <c r="F41" s="420"/>
      <c r="G41" s="1"/>
      <c r="H41" s="367"/>
      <c r="J41" s="26"/>
    </row>
    <row r="42" spans="1:23">
      <c r="A42" s="1" t="str">
        <f t="shared" ref="A42:J42" si="0">A71</f>
        <v>Blade Count</v>
      </c>
      <c r="B42" s="1" t="str">
        <f t="shared" si="0"/>
        <v>Height mm</v>
      </c>
      <c r="C42" s="1" t="str">
        <f t="shared" si="0"/>
        <v>1 Bay Standard &lt;=982mm</v>
      </c>
      <c r="D42" s="1" t="str">
        <f t="shared" si="0"/>
        <v>1 Bay Off Standard &lt;=982mm</v>
      </c>
      <c r="E42" s="1" t="str">
        <f t="shared" si="0"/>
        <v>2 Bay Standard &lt;=1959mm</v>
      </c>
      <c r="F42" s="1" t="str">
        <f t="shared" si="0"/>
        <v>2 Bay Off Standard &lt;=1959mm</v>
      </c>
      <c r="G42" s="1" t="str">
        <f t="shared" si="0"/>
        <v>3 Bay Standard &lt;=2936mm</v>
      </c>
      <c r="H42" s="1" t="str">
        <f t="shared" si="0"/>
        <v>3 Bay Off Standard &lt;=2936mm</v>
      </c>
      <c r="I42" s="1" t="str">
        <f t="shared" si="0"/>
        <v>4 Bay Standard &lt;=3913mm</v>
      </c>
      <c r="J42" s="1" t="str">
        <f t="shared" si="0"/>
        <v>4 Bay Off Standard &lt;=3913mm</v>
      </c>
    </row>
    <row r="43" spans="1:23">
      <c r="A43" s="391">
        <f t="shared" ref="A43:B62" si="1">A72</f>
        <v>2</v>
      </c>
      <c r="B43" s="391">
        <f t="shared" si="1"/>
        <v>371</v>
      </c>
      <c r="C43" s="391">
        <f t="shared" ref="C43:J52" si="2">ROUND(C72*0.805,2)</f>
        <v>818.75</v>
      </c>
      <c r="D43" s="391">
        <f t="shared" si="2"/>
        <v>941.57</v>
      </c>
      <c r="E43" s="391">
        <f t="shared" si="2"/>
        <v>1362.33</v>
      </c>
      <c r="F43" s="391">
        <f t="shared" si="2"/>
        <v>1566.69</v>
      </c>
      <c r="G43" s="391">
        <f t="shared" si="2"/>
        <v>1960.13</v>
      </c>
      <c r="H43" s="430">
        <f t="shared" si="2"/>
        <v>2254.15</v>
      </c>
      <c r="I43" s="391">
        <f t="shared" si="2"/>
        <v>2565.41</v>
      </c>
      <c r="J43" s="391">
        <f t="shared" si="2"/>
        <v>2950.24</v>
      </c>
      <c r="K43" s="391"/>
      <c r="L43" s="391"/>
    </row>
    <row r="44" spans="1:23">
      <c r="A44" s="391">
        <f t="shared" si="1"/>
        <v>3</v>
      </c>
      <c r="B44" s="391">
        <f t="shared" si="1"/>
        <v>511</v>
      </c>
      <c r="C44" s="391">
        <f t="shared" si="2"/>
        <v>924.58</v>
      </c>
      <c r="D44" s="391">
        <f t="shared" si="2"/>
        <v>1063.28</v>
      </c>
      <c r="E44" s="391">
        <f t="shared" si="2"/>
        <v>1522.6</v>
      </c>
      <c r="F44" s="391">
        <f t="shared" si="2"/>
        <v>1751</v>
      </c>
      <c r="G44" s="391">
        <f t="shared" si="2"/>
        <v>2178.4299999999998</v>
      </c>
      <c r="H44" s="430">
        <f t="shared" si="2"/>
        <v>2505.1999999999998</v>
      </c>
      <c r="I44" s="391">
        <f t="shared" si="2"/>
        <v>2841.57</v>
      </c>
      <c r="J44" s="391">
        <f t="shared" si="2"/>
        <v>3267.8</v>
      </c>
      <c r="K44" s="391"/>
      <c r="L44" s="391"/>
    </row>
    <row r="45" spans="1:23">
      <c r="A45" s="391">
        <f t="shared" si="1"/>
        <v>4</v>
      </c>
      <c r="B45" s="391">
        <f t="shared" si="1"/>
        <v>651</v>
      </c>
      <c r="C45" s="391">
        <f t="shared" si="2"/>
        <v>1030.31</v>
      </c>
      <c r="D45" s="391">
        <f t="shared" si="2"/>
        <v>1184.8599999999999</v>
      </c>
      <c r="E45" s="391">
        <f t="shared" si="2"/>
        <v>1682.76</v>
      </c>
      <c r="F45" s="391">
        <f t="shared" si="2"/>
        <v>1935.17</v>
      </c>
      <c r="G45" s="391">
        <f t="shared" si="2"/>
        <v>2396.5</v>
      </c>
      <c r="H45" s="430">
        <f t="shared" si="2"/>
        <v>2755.98</v>
      </c>
      <c r="I45" s="391">
        <f t="shared" si="2"/>
        <v>3117.6</v>
      </c>
      <c r="J45" s="391">
        <f t="shared" si="2"/>
        <v>3585.23</v>
      </c>
      <c r="K45" s="391"/>
      <c r="L45" s="391"/>
    </row>
    <row r="46" spans="1:23">
      <c r="A46" s="391">
        <f t="shared" si="1"/>
        <v>5</v>
      </c>
      <c r="B46" s="391">
        <f t="shared" si="1"/>
        <v>791</v>
      </c>
      <c r="C46" s="391">
        <f t="shared" si="2"/>
        <v>1136.1500000000001</v>
      </c>
      <c r="D46" s="391">
        <f t="shared" si="2"/>
        <v>1306.56</v>
      </c>
      <c r="E46" s="391">
        <f t="shared" si="2"/>
        <v>1843.13</v>
      </c>
      <c r="F46" s="391">
        <f t="shared" si="2"/>
        <v>2119.6</v>
      </c>
      <c r="G46" s="391">
        <f t="shared" si="2"/>
        <v>2614.81</v>
      </c>
      <c r="H46" s="430">
        <f t="shared" si="2"/>
        <v>3007.03</v>
      </c>
      <c r="I46" s="391">
        <f t="shared" si="2"/>
        <v>3393.86</v>
      </c>
      <c r="J46" s="391">
        <f t="shared" si="2"/>
        <v>3902.94</v>
      </c>
      <c r="K46" s="391"/>
      <c r="L46" s="391"/>
    </row>
    <row r="47" spans="1:23">
      <c r="A47" s="391">
        <f t="shared" si="1"/>
        <v>6</v>
      </c>
      <c r="B47" s="391">
        <f t="shared" si="1"/>
        <v>931</v>
      </c>
      <c r="C47" s="391">
        <f t="shared" si="2"/>
        <v>1241.99</v>
      </c>
      <c r="D47" s="391">
        <f t="shared" si="2"/>
        <v>1428.28</v>
      </c>
      <c r="E47" s="391">
        <f t="shared" si="2"/>
        <v>2003.51</v>
      </c>
      <c r="F47" s="391">
        <f t="shared" si="2"/>
        <v>2304.0300000000002</v>
      </c>
      <c r="G47" s="391">
        <f t="shared" si="2"/>
        <v>2833.1</v>
      </c>
      <c r="H47" s="430">
        <f t="shared" si="2"/>
        <v>3258.08</v>
      </c>
      <c r="I47" s="391">
        <f t="shared" si="2"/>
        <v>3670</v>
      </c>
      <c r="J47" s="391">
        <f t="shared" si="2"/>
        <v>4220.5</v>
      </c>
      <c r="K47" s="391"/>
      <c r="L47" s="391"/>
    </row>
    <row r="48" spans="1:23">
      <c r="A48" s="391">
        <f t="shared" si="1"/>
        <v>7</v>
      </c>
      <c r="B48" s="391">
        <f t="shared" si="1"/>
        <v>1071</v>
      </c>
      <c r="C48" s="391">
        <f t="shared" si="2"/>
        <v>1347.45</v>
      </c>
      <c r="D48" s="391">
        <f t="shared" si="2"/>
        <v>1549.57</v>
      </c>
      <c r="E48" s="391">
        <f t="shared" si="2"/>
        <v>2163.5100000000002</v>
      </c>
      <c r="F48" s="391">
        <f t="shared" si="2"/>
        <v>2488.0500000000002</v>
      </c>
      <c r="G48" s="391">
        <f t="shared" si="2"/>
        <v>3051.18</v>
      </c>
      <c r="H48" s="430">
        <f t="shared" si="2"/>
        <v>3508.85</v>
      </c>
      <c r="I48" s="391">
        <f t="shared" si="2"/>
        <v>3946.03</v>
      </c>
      <c r="J48" s="391">
        <f t="shared" si="2"/>
        <v>4537.92</v>
      </c>
      <c r="K48" s="391"/>
      <c r="L48" s="391"/>
    </row>
    <row r="49" spans="1:12">
      <c r="A49" s="391">
        <f t="shared" si="1"/>
        <v>8</v>
      </c>
      <c r="B49" s="391">
        <f t="shared" si="1"/>
        <v>1211</v>
      </c>
      <c r="C49" s="391">
        <f t="shared" si="2"/>
        <v>1453.4</v>
      </c>
      <c r="D49" s="391">
        <f t="shared" si="2"/>
        <v>1671.41</v>
      </c>
      <c r="E49" s="391">
        <f t="shared" si="2"/>
        <v>2323.89</v>
      </c>
      <c r="F49" s="391">
        <f t="shared" si="2"/>
        <v>2672.48</v>
      </c>
      <c r="G49" s="391">
        <f t="shared" si="2"/>
        <v>3269.6</v>
      </c>
      <c r="H49" s="430">
        <f t="shared" si="2"/>
        <v>3760.03</v>
      </c>
      <c r="I49" s="391">
        <f t="shared" si="2"/>
        <v>4222.3100000000004</v>
      </c>
      <c r="J49" s="391">
        <f t="shared" si="2"/>
        <v>4855.66</v>
      </c>
      <c r="K49" s="391"/>
      <c r="L49" s="391"/>
    </row>
    <row r="50" spans="1:12">
      <c r="A50" s="391">
        <f t="shared" si="1"/>
        <v>9</v>
      </c>
      <c r="B50" s="391">
        <f t="shared" si="1"/>
        <v>1351</v>
      </c>
      <c r="C50" s="391">
        <f t="shared" si="2"/>
        <v>1559.57</v>
      </c>
      <c r="D50" s="391">
        <f t="shared" si="2"/>
        <v>1793.51</v>
      </c>
      <c r="E50" s="391">
        <f t="shared" si="2"/>
        <v>2484.94</v>
      </c>
      <c r="F50" s="391">
        <f t="shared" si="2"/>
        <v>2857.69</v>
      </c>
      <c r="G50" s="391">
        <f t="shared" si="2"/>
        <v>3489.09</v>
      </c>
      <c r="H50" s="430">
        <f t="shared" si="2"/>
        <v>4012.44</v>
      </c>
      <c r="I50" s="391">
        <f t="shared" si="2"/>
        <v>4500.24</v>
      </c>
      <c r="J50" s="391">
        <f t="shared" si="2"/>
        <v>5175.2700000000004</v>
      </c>
      <c r="K50" s="391"/>
      <c r="L50" s="391"/>
    </row>
    <row r="51" spans="1:12">
      <c r="A51" s="391">
        <f t="shared" si="1"/>
        <v>10</v>
      </c>
      <c r="B51" s="391">
        <f t="shared" si="1"/>
        <v>1491</v>
      </c>
      <c r="C51" s="391">
        <f t="shared" si="2"/>
        <v>1680.54</v>
      </c>
      <c r="D51" s="391">
        <f t="shared" si="2"/>
        <v>1932.64</v>
      </c>
      <c r="E51" s="391">
        <f t="shared" si="2"/>
        <v>2701.43</v>
      </c>
      <c r="F51" s="391">
        <f t="shared" si="2"/>
        <v>3106.65</v>
      </c>
      <c r="G51" s="391">
        <f t="shared" si="2"/>
        <v>3795.46</v>
      </c>
      <c r="H51" s="430">
        <f t="shared" si="2"/>
        <v>4364.7700000000004</v>
      </c>
      <c r="I51" s="391">
        <f t="shared" si="2"/>
        <v>4897.04</v>
      </c>
      <c r="J51" s="391">
        <f t="shared" si="2"/>
        <v>5631.59</v>
      </c>
      <c r="K51" s="391"/>
      <c r="L51" s="391"/>
    </row>
    <row r="52" spans="1:12">
      <c r="A52" s="391">
        <f t="shared" si="1"/>
        <v>11</v>
      </c>
      <c r="B52" s="391">
        <f t="shared" si="1"/>
        <v>1631</v>
      </c>
      <c r="C52" s="391">
        <f t="shared" si="2"/>
        <v>1786.38</v>
      </c>
      <c r="D52" s="391">
        <f t="shared" si="2"/>
        <v>2054.34</v>
      </c>
      <c r="E52" s="391">
        <f t="shared" si="2"/>
        <v>2929.54</v>
      </c>
      <c r="F52" s="391">
        <f t="shared" si="2"/>
        <v>3368.98</v>
      </c>
      <c r="G52" s="391">
        <f t="shared" si="2"/>
        <v>4117.8599999999997</v>
      </c>
      <c r="H52" s="430">
        <f t="shared" si="2"/>
        <v>4735.54</v>
      </c>
      <c r="I52" s="391">
        <f t="shared" si="2"/>
        <v>5314.33</v>
      </c>
      <c r="J52" s="391">
        <f t="shared" si="2"/>
        <v>6111.46</v>
      </c>
      <c r="K52" s="391"/>
      <c r="L52" s="391"/>
    </row>
    <row r="53" spans="1:12">
      <c r="A53" s="391">
        <f t="shared" si="1"/>
        <v>12</v>
      </c>
      <c r="B53" s="391">
        <f t="shared" si="1"/>
        <v>1771</v>
      </c>
      <c r="C53" s="391">
        <f t="shared" ref="C53:J62" si="3">ROUND(C82*0.805,2)</f>
        <v>1891.97</v>
      </c>
      <c r="D53" s="391">
        <f t="shared" si="3"/>
        <v>2175.77</v>
      </c>
      <c r="E53" s="391">
        <f t="shared" si="3"/>
        <v>3170.19</v>
      </c>
      <c r="F53" s="391">
        <f t="shared" si="3"/>
        <v>3645.71</v>
      </c>
      <c r="G53" s="391">
        <f t="shared" si="3"/>
        <v>4457.53</v>
      </c>
      <c r="H53" s="430">
        <f t="shared" si="3"/>
        <v>5126.16</v>
      </c>
      <c r="I53" s="391">
        <f t="shared" si="3"/>
        <v>5753.65</v>
      </c>
      <c r="J53" s="391">
        <f t="shared" si="3"/>
        <v>6616.7</v>
      </c>
      <c r="K53" s="391"/>
      <c r="L53" s="391"/>
    </row>
    <row r="54" spans="1:12">
      <c r="A54" s="391">
        <f t="shared" si="1"/>
        <v>13</v>
      </c>
      <c r="B54" s="391">
        <f t="shared" si="1"/>
        <v>1911</v>
      </c>
      <c r="C54" s="391">
        <f t="shared" si="3"/>
        <v>1997.81</v>
      </c>
      <c r="D54" s="391">
        <f t="shared" si="3"/>
        <v>2297.48</v>
      </c>
      <c r="E54" s="391">
        <f t="shared" si="3"/>
        <v>3424.29</v>
      </c>
      <c r="F54" s="391">
        <f t="shared" si="3"/>
        <v>3937.95</v>
      </c>
      <c r="G54" s="391">
        <f t="shared" si="3"/>
        <v>4815.79</v>
      </c>
      <c r="H54" s="430">
        <f t="shared" si="3"/>
        <v>5538.16</v>
      </c>
      <c r="I54" s="391">
        <f t="shared" si="3"/>
        <v>6216.72</v>
      </c>
      <c r="J54" s="391">
        <f t="shared" si="3"/>
        <v>7149.22</v>
      </c>
      <c r="K54" s="391"/>
      <c r="L54" s="391"/>
    </row>
    <row r="55" spans="1:12">
      <c r="A55" s="391">
        <f t="shared" si="1"/>
        <v>14</v>
      </c>
      <c r="B55" s="391">
        <f t="shared" si="1"/>
        <v>2051</v>
      </c>
      <c r="C55" s="391">
        <f t="shared" si="3"/>
        <v>2103.64</v>
      </c>
      <c r="D55" s="391">
        <f t="shared" si="3"/>
        <v>2419.19</v>
      </c>
      <c r="E55" s="391">
        <f t="shared" si="3"/>
        <v>3692.95</v>
      </c>
      <c r="F55" s="391">
        <f t="shared" si="3"/>
        <v>4246.8999999999996</v>
      </c>
      <c r="G55" s="391">
        <f t="shared" si="3"/>
        <v>5194.07</v>
      </c>
      <c r="H55" s="430">
        <f t="shared" si="3"/>
        <v>5973.18</v>
      </c>
      <c r="I55" s="391">
        <f t="shared" si="3"/>
        <v>6705.35</v>
      </c>
      <c r="J55" s="391">
        <f t="shared" si="3"/>
        <v>7711.15</v>
      </c>
      <c r="K55" s="391"/>
      <c r="L55" s="391"/>
    </row>
    <row r="56" spans="1:12">
      <c r="A56" s="391">
        <f t="shared" si="1"/>
        <v>15</v>
      </c>
      <c r="B56" s="391">
        <f t="shared" si="1"/>
        <v>2191</v>
      </c>
      <c r="C56" s="391">
        <f t="shared" si="3"/>
        <v>2209.36</v>
      </c>
      <c r="D56" s="391">
        <f t="shared" si="3"/>
        <v>2540.77</v>
      </c>
      <c r="E56" s="391">
        <f t="shared" si="3"/>
        <v>3977.24</v>
      </c>
      <c r="F56" s="391">
        <f t="shared" si="3"/>
        <v>4573.82</v>
      </c>
      <c r="G56" s="391">
        <f t="shared" si="3"/>
        <v>5593.9</v>
      </c>
      <c r="H56" s="430">
        <f t="shared" si="3"/>
        <v>6433</v>
      </c>
      <c r="I56" s="391">
        <f t="shared" si="3"/>
        <v>7221.53</v>
      </c>
      <c r="J56" s="391">
        <f t="shared" si="3"/>
        <v>8304.77</v>
      </c>
      <c r="K56" s="391"/>
      <c r="L56" s="391"/>
    </row>
    <row r="57" spans="1:12">
      <c r="A57" s="391">
        <f t="shared" si="1"/>
        <v>16</v>
      </c>
      <c r="B57" s="391">
        <f t="shared" si="1"/>
        <v>2331</v>
      </c>
      <c r="C57" s="391">
        <f t="shared" si="3"/>
        <v>2315.06</v>
      </c>
      <c r="D57" s="391">
        <f t="shared" si="3"/>
        <v>2662.32</v>
      </c>
      <c r="E57" s="391">
        <f t="shared" si="3"/>
        <v>4278.38</v>
      </c>
      <c r="F57" s="391">
        <f t="shared" si="3"/>
        <v>4920.1400000000003</v>
      </c>
      <c r="G57" s="391">
        <f t="shared" si="3"/>
        <v>6016.98</v>
      </c>
      <c r="H57" s="430">
        <f t="shared" si="3"/>
        <v>6919.52</v>
      </c>
      <c r="I57" s="391">
        <f t="shared" si="3"/>
        <v>7767.38</v>
      </c>
      <c r="J57" s="391">
        <f t="shared" si="3"/>
        <v>8932.49</v>
      </c>
      <c r="K57" s="391"/>
      <c r="L57" s="391"/>
    </row>
    <row r="58" spans="1:12">
      <c r="A58" s="391">
        <f t="shared" si="1"/>
        <v>17</v>
      </c>
      <c r="B58" s="391">
        <f t="shared" si="1"/>
        <v>2471</v>
      </c>
      <c r="C58" s="391">
        <f t="shared" si="3"/>
        <v>2420.89</v>
      </c>
      <c r="D58" s="391">
        <f t="shared" si="3"/>
        <v>2784.03</v>
      </c>
      <c r="E58" s="391">
        <f t="shared" si="3"/>
        <v>4597.67</v>
      </c>
      <c r="F58" s="391">
        <f t="shared" si="3"/>
        <v>5287.32</v>
      </c>
      <c r="G58" s="391">
        <f t="shared" si="3"/>
        <v>6465.07</v>
      </c>
      <c r="H58" s="430">
        <f t="shared" si="3"/>
        <v>7434.82</v>
      </c>
      <c r="I58" s="391">
        <f t="shared" si="3"/>
        <v>8345.17</v>
      </c>
      <c r="J58" s="391">
        <f t="shared" si="3"/>
        <v>9596.94</v>
      </c>
      <c r="K58" s="391"/>
      <c r="L58" s="391"/>
    </row>
    <row r="59" spans="1:12">
      <c r="A59" s="391">
        <f t="shared" si="1"/>
        <v>18</v>
      </c>
      <c r="B59" s="391">
        <f t="shared" si="1"/>
        <v>2611</v>
      </c>
      <c r="C59" s="391">
        <f t="shared" si="3"/>
        <v>2512.9</v>
      </c>
      <c r="D59" s="391">
        <f t="shared" si="3"/>
        <v>2889.85</v>
      </c>
      <c r="E59" s="391">
        <f t="shared" si="3"/>
        <v>4936.49</v>
      </c>
      <c r="F59" s="391">
        <f t="shared" si="3"/>
        <v>5676.96</v>
      </c>
      <c r="G59" s="391">
        <f t="shared" si="3"/>
        <v>6940.09</v>
      </c>
      <c r="H59" s="430">
        <f t="shared" si="3"/>
        <v>7981.1</v>
      </c>
      <c r="I59" s="391">
        <f t="shared" si="3"/>
        <v>8957.36</v>
      </c>
      <c r="J59" s="391">
        <f t="shared" si="3"/>
        <v>10300.969999999999</v>
      </c>
      <c r="K59" s="391"/>
      <c r="L59" s="391"/>
    </row>
    <row r="60" spans="1:12">
      <c r="A60" s="391">
        <f t="shared" si="1"/>
        <v>19</v>
      </c>
      <c r="B60" s="391">
        <f t="shared" si="1"/>
        <v>2751</v>
      </c>
      <c r="C60" s="391">
        <f t="shared" si="3"/>
        <v>2596.5</v>
      </c>
      <c r="D60" s="391">
        <f t="shared" si="3"/>
        <v>2985.97</v>
      </c>
      <c r="E60" s="391">
        <f t="shared" si="3"/>
        <v>5296.37</v>
      </c>
      <c r="F60" s="391">
        <f t="shared" si="3"/>
        <v>6090.83</v>
      </c>
      <c r="G60" s="391">
        <f t="shared" si="3"/>
        <v>7444.12</v>
      </c>
      <c r="H60" s="430">
        <f t="shared" si="3"/>
        <v>8560.74</v>
      </c>
      <c r="I60" s="391">
        <f t="shared" si="3"/>
        <v>9606.61</v>
      </c>
      <c r="J60" s="391">
        <f t="shared" si="3"/>
        <v>11047.6</v>
      </c>
      <c r="K60" s="391"/>
      <c r="L60" s="391"/>
    </row>
    <row r="61" spans="1:12">
      <c r="A61" s="391">
        <f t="shared" si="1"/>
        <v>20</v>
      </c>
      <c r="B61" s="391">
        <f t="shared" si="1"/>
        <v>2891</v>
      </c>
      <c r="C61" s="391">
        <f t="shared" si="3"/>
        <v>2675.31</v>
      </c>
      <c r="D61" s="391">
        <f t="shared" si="3"/>
        <v>3076.61</v>
      </c>
      <c r="E61" s="391">
        <f t="shared" si="3"/>
        <v>5678.92</v>
      </c>
      <c r="F61" s="391">
        <f t="shared" si="3"/>
        <v>6530.76</v>
      </c>
      <c r="G61" s="391">
        <f t="shared" si="3"/>
        <v>7979.4</v>
      </c>
      <c r="H61" s="430">
        <f t="shared" si="3"/>
        <v>9176.32</v>
      </c>
      <c r="I61" s="391">
        <f t="shared" si="3"/>
        <v>10295.76</v>
      </c>
      <c r="J61" s="391">
        <f t="shared" si="3"/>
        <v>11840.13</v>
      </c>
      <c r="K61" s="391"/>
      <c r="L61" s="391"/>
    </row>
    <row r="62" spans="1:12">
      <c r="A62" s="391">
        <f t="shared" si="1"/>
        <v>21</v>
      </c>
      <c r="B62" s="391">
        <f t="shared" si="1"/>
        <v>3031</v>
      </c>
      <c r="C62" s="391">
        <f t="shared" si="3"/>
        <v>2769.57</v>
      </c>
      <c r="D62" s="391">
        <f t="shared" si="3"/>
        <v>3185</v>
      </c>
      <c r="E62" s="391">
        <f t="shared" si="3"/>
        <v>6085.88</v>
      </c>
      <c r="F62" s="391">
        <f t="shared" si="3"/>
        <v>6998.76</v>
      </c>
      <c r="G62" s="391">
        <f t="shared" si="3"/>
        <v>8548.34</v>
      </c>
      <c r="H62" s="430">
        <f t="shared" si="3"/>
        <v>9830.6</v>
      </c>
      <c r="I62" s="391">
        <f t="shared" si="3"/>
        <v>11027.9</v>
      </c>
      <c r="J62" s="391">
        <f t="shared" si="3"/>
        <v>12682.09</v>
      </c>
      <c r="K62" s="391"/>
      <c r="L62" s="391"/>
    </row>
    <row r="71" spans="1:10">
      <c r="A71" s="1" t="s">
        <v>2432</v>
      </c>
      <c r="B71" s="1" t="s">
        <v>2433</v>
      </c>
      <c r="C71" s="1" t="s">
        <v>2434</v>
      </c>
      <c r="D71" s="1" t="s">
        <v>2435</v>
      </c>
      <c r="E71" s="1" t="s">
        <v>2436</v>
      </c>
      <c r="F71" s="1" t="s">
        <v>2437</v>
      </c>
      <c r="G71" s="1" t="s">
        <v>2438</v>
      </c>
      <c r="H71" s="1" t="s">
        <v>2439</v>
      </c>
      <c r="I71" s="1" t="s">
        <v>2440</v>
      </c>
      <c r="J71" s="1" t="s">
        <v>2441</v>
      </c>
    </row>
    <row r="72" spans="1:10">
      <c r="A72" s="391">
        <v>2</v>
      </c>
      <c r="B72" s="391">
        <v>371</v>
      </c>
      <c r="C72" s="391">
        <v>1017.08</v>
      </c>
      <c r="D72" s="391">
        <v>1169.6500000000001</v>
      </c>
      <c r="E72" s="391">
        <v>1692.34</v>
      </c>
      <c r="F72" s="391">
        <v>1946.2</v>
      </c>
      <c r="G72" s="391">
        <v>2434.94</v>
      </c>
      <c r="H72" s="430">
        <v>2800.19</v>
      </c>
      <c r="I72" s="391">
        <v>3186.85</v>
      </c>
      <c r="J72" s="391">
        <v>3664.89</v>
      </c>
    </row>
    <row r="73" spans="1:10">
      <c r="A73" s="391">
        <v>3</v>
      </c>
      <c r="B73" s="391">
        <v>511</v>
      </c>
      <c r="C73" s="391">
        <v>1148.55</v>
      </c>
      <c r="D73" s="391">
        <v>1320.84</v>
      </c>
      <c r="E73" s="391">
        <v>1891.43</v>
      </c>
      <c r="F73" s="391">
        <v>2175.15</v>
      </c>
      <c r="G73" s="391">
        <v>2706.13</v>
      </c>
      <c r="H73" s="430">
        <v>3112.05</v>
      </c>
      <c r="I73" s="391">
        <v>3529.9</v>
      </c>
      <c r="J73" s="391">
        <v>4059.38</v>
      </c>
    </row>
    <row r="74" spans="1:10">
      <c r="A74" s="391">
        <v>4</v>
      </c>
      <c r="B74" s="391">
        <v>651</v>
      </c>
      <c r="C74" s="391">
        <v>1279.8900000000001</v>
      </c>
      <c r="D74" s="391">
        <v>1471.87</v>
      </c>
      <c r="E74" s="391">
        <v>2090.38</v>
      </c>
      <c r="F74" s="391">
        <v>2403.94</v>
      </c>
      <c r="G74" s="391">
        <v>2977.02</v>
      </c>
      <c r="H74" s="430">
        <v>3423.58</v>
      </c>
      <c r="I74" s="391">
        <v>3872.79</v>
      </c>
      <c r="J74" s="391">
        <v>4453.7</v>
      </c>
    </row>
    <row r="75" spans="1:10">
      <c r="A75" s="391">
        <v>5</v>
      </c>
      <c r="B75" s="391">
        <v>791</v>
      </c>
      <c r="C75" s="391">
        <v>1411.37</v>
      </c>
      <c r="D75" s="391">
        <v>1623.06</v>
      </c>
      <c r="E75" s="391">
        <v>2289.6</v>
      </c>
      <c r="F75" s="391">
        <v>2633.04</v>
      </c>
      <c r="G75" s="391">
        <v>3248.21</v>
      </c>
      <c r="H75" s="430">
        <v>3735.44</v>
      </c>
      <c r="I75" s="391">
        <v>4215.97</v>
      </c>
      <c r="J75" s="391">
        <v>4848.37</v>
      </c>
    </row>
    <row r="76" spans="1:10">
      <c r="A76" s="391">
        <v>6</v>
      </c>
      <c r="B76" s="391">
        <v>931</v>
      </c>
      <c r="C76" s="391">
        <v>1542.84</v>
      </c>
      <c r="D76" s="391">
        <v>1774.26</v>
      </c>
      <c r="E76" s="391">
        <v>2488.83</v>
      </c>
      <c r="F76" s="391">
        <v>2862.15</v>
      </c>
      <c r="G76" s="391">
        <v>3519.38</v>
      </c>
      <c r="H76" s="430">
        <v>4047.3</v>
      </c>
      <c r="I76" s="391">
        <v>4559</v>
      </c>
      <c r="J76" s="391">
        <v>5242.8599999999997</v>
      </c>
    </row>
    <row r="77" spans="1:10">
      <c r="A77" s="391">
        <v>7</v>
      </c>
      <c r="B77" s="391">
        <v>1071</v>
      </c>
      <c r="C77" s="391">
        <v>1673.85</v>
      </c>
      <c r="D77" s="391">
        <v>1924.93</v>
      </c>
      <c r="E77" s="391">
        <v>2687.59</v>
      </c>
      <c r="F77" s="391">
        <v>3090.74</v>
      </c>
      <c r="G77" s="391">
        <v>3790.28</v>
      </c>
      <c r="H77" s="430">
        <v>4358.82</v>
      </c>
      <c r="I77" s="391">
        <v>4901.8999999999996</v>
      </c>
      <c r="J77" s="391">
        <v>5637.17</v>
      </c>
    </row>
    <row r="78" spans="1:10">
      <c r="A78" s="391">
        <v>8</v>
      </c>
      <c r="B78" s="391">
        <v>1211</v>
      </c>
      <c r="C78" s="391">
        <v>1805.47</v>
      </c>
      <c r="D78" s="391">
        <v>2076.29</v>
      </c>
      <c r="E78" s="391">
        <v>2886.82</v>
      </c>
      <c r="F78" s="391">
        <v>3319.85</v>
      </c>
      <c r="G78" s="391">
        <v>4061.61</v>
      </c>
      <c r="H78" s="430">
        <v>4670.84</v>
      </c>
      <c r="I78" s="391">
        <v>5245.11</v>
      </c>
      <c r="J78" s="391">
        <v>6031.88</v>
      </c>
    </row>
    <row r="79" spans="1:10">
      <c r="A79" s="391">
        <v>9</v>
      </c>
      <c r="B79" s="391">
        <v>1351</v>
      </c>
      <c r="C79" s="391">
        <v>1937.36</v>
      </c>
      <c r="D79" s="391">
        <v>2227.96</v>
      </c>
      <c r="E79" s="391">
        <v>3086.88</v>
      </c>
      <c r="F79" s="391">
        <v>3549.92</v>
      </c>
      <c r="G79" s="391">
        <v>4334.2700000000004</v>
      </c>
      <c r="H79" s="430">
        <v>4984.3999999999996</v>
      </c>
      <c r="I79" s="391">
        <v>5590.36</v>
      </c>
      <c r="J79" s="391">
        <v>6428.91</v>
      </c>
    </row>
    <row r="80" spans="1:10">
      <c r="A80" s="391">
        <v>10</v>
      </c>
      <c r="B80" s="391">
        <v>1491</v>
      </c>
      <c r="C80" s="391">
        <v>2087.63</v>
      </c>
      <c r="D80" s="391">
        <v>2400.79</v>
      </c>
      <c r="E80" s="391">
        <v>3355.81</v>
      </c>
      <c r="F80" s="391">
        <v>3859.19</v>
      </c>
      <c r="G80" s="391">
        <v>4714.8599999999997</v>
      </c>
      <c r="H80" s="430">
        <v>5422.08</v>
      </c>
      <c r="I80" s="391">
        <v>6083.28</v>
      </c>
      <c r="J80" s="391">
        <v>6995.77</v>
      </c>
    </row>
    <row r="81" spans="1:10">
      <c r="A81" s="391">
        <v>11</v>
      </c>
      <c r="B81" s="391">
        <v>1631</v>
      </c>
      <c r="C81" s="391">
        <v>2219.11</v>
      </c>
      <c r="D81" s="391">
        <v>2551.98</v>
      </c>
      <c r="E81" s="391">
        <v>3639.18</v>
      </c>
      <c r="F81" s="391">
        <v>4185.07</v>
      </c>
      <c r="G81" s="391">
        <v>5115.3500000000004</v>
      </c>
      <c r="H81" s="430">
        <v>5882.66</v>
      </c>
      <c r="I81" s="391">
        <v>6601.65</v>
      </c>
      <c r="J81" s="391">
        <v>7591.88</v>
      </c>
    </row>
    <row r="82" spans="1:10">
      <c r="A82" s="391">
        <v>12</v>
      </c>
      <c r="B82" s="391">
        <v>1771</v>
      </c>
      <c r="C82" s="391">
        <v>2350.27</v>
      </c>
      <c r="D82" s="391">
        <v>2702.82</v>
      </c>
      <c r="E82" s="391">
        <v>3938.12</v>
      </c>
      <c r="F82" s="391">
        <v>4528.83</v>
      </c>
      <c r="G82" s="391">
        <v>5537.3</v>
      </c>
      <c r="H82" s="430">
        <v>6367.9</v>
      </c>
      <c r="I82" s="391">
        <v>7147.39</v>
      </c>
      <c r="J82" s="391">
        <v>8219.5</v>
      </c>
    </row>
    <row r="83" spans="1:10">
      <c r="A83" s="391">
        <v>13</v>
      </c>
      <c r="B83" s="391">
        <v>1911</v>
      </c>
      <c r="C83" s="391">
        <v>2481.75</v>
      </c>
      <c r="D83" s="391">
        <v>2854.01</v>
      </c>
      <c r="E83" s="391">
        <v>4253.78</v>
      </c>
      <c r="F83" s="391">
        <v>4891.8599999999997</v>
      </c>
      <c r="G83" s="391">
        <v>5982.35</v>
      </c>
      <c r="H83" s="430">
        <v>6879.7</v>
      </c>
      <c r="I83" s="391">
        <v>7722.63</v>
      </c>
      <c r="J83" s="391">
        <v>8881.02</v>
      </c>
    </row>
    <row r="84" spans="1:10">
      <c r="A84" s="391">
        <v>14</v>
      </c>
      <c r="B84" s="391">
        <v>2051</v>
      </c>
      <c r="C84" s="391">
        <v>2613.2199999999998</v>
      </c>
      <c r="D84" s="391">
        <v>3005.2</v>
      </c>
      <c r="E84" s="391">
        <v>4587.51</v>
      </c>
      <c r="F84" s="391">
        <v>5275.65</v>
      </c>
      <c r="G84" s="391">
        <v>6452.26</v>
      </c>
      <c r="H84" s="430">
        <v>7420.1</v>
      </c>
      <c r="I84" s="391">
        <v>8329.6299999999992</v>
      </c>
      <c r="J84" s="391">
        <v>9579.07</v>
      </c>
    </row>
    <row r="85" spans="1:10">
      <c r="A85" s="391">
        <v>15</v>
      </c>
      <c r="B85" s="391">
        <v>2191</v>
      </c>
      <c r="C85" s="391">
        <v>2744.55</v>
      </c>
      <c r="D85" s="391">
        <v>3156.23</v>
      </c>
      <c r="E85" s="391">
        <v>4940.67</v>
      </c>
      <c r="F85" s="391">
        <v>5681.77</v>
      </c>
      <c r="G85" s="391">
        <v>6948.95</v>
      </c>
      <c r="H85" s="430">
        <v>7991.3</v>
      </c>
      <c r="I85" s="391">
        <v>8970.85</v>
      </c>
      <c r="J85" s="391">
        <v>10316.48</v>
      </c>
    </row>
    <row r="86" spans="1:10">
      <c r="A86" s="391">
        <v>16</v>
      </c>
      <c r="B86" s="391">
        <v>2331</v>
      </c>
      <c r="C86" s="391">
        <v>2875.85</v>
      </c>
      <c r="D86" s="391">
        <v>3307.23</v>
      </c>
      <c r="E86" s="391">
        <v>5314.76</v>
      </c>
      <c r="F86" s="391">
        <v>6111.97</v>
      </c>
      <c r="G86" s="391">
        <v>7474.51</v>
      </c>
      <c r="H86" s="430">
        <v>8595.68</v>
      </c>
      <c r="I86" s="391">
        <v>9648.92</v>
      </c>
      <c r="J86" s="391">
        <v>11096.26</v>
      </c>
    </row>
    <row r="87" spans="1:10">
      <c r="A87" s="391">
        <v>17</v>
      </c>
      <c r="B87" s="391">
        <v>2471</v>
      </c>
      <c r="C87" s="391">
        <v>3007.32</v>
      </c>
      <c r="D87" s="391">
        <v>3458.42</v>
      </c>
      <c r="E87" s="391">
        <v>5711.39</v>
      </c>
      <c r="F87" s="391">
        <v>6568.1</v>
      </c>
      <c r="G87" s="391">
        <v>8031.14</v>
      </c>
      <c r="H87" s="430">
        <v>9235.7999999999993</v>
      </c>
      <c r="I87" s="391">
        <v>10366.67</v>
      </c>
      <c r="J87" s="391">
        <v>11921.67</v>
      </c>
    </row>
    <row r="88" spans="1:10">
      <c r="A88" s="391">
        <v>18</v>
      </c>
      <c r="B88" s="391">
        <v>2611</v>
      </c>
      <c r="C88" s="391">
        <v>3121.62</v>
      </c>
      <c r="D88" s="391">
        <v>3589.88</v>
      </c>
      <c r="E88" s="391">
        <v>6132.29</v>
      </c>
      <c r="F88" s="391">
        <v>7052.13</v>
      </c>
      <c r="G88" s="391">
        <v>8621.23</v>
      </c>
      <c r="H88" s="430">
        <v>9914.41</v>
      </c>
      <c r="I88" s="391">
        <v>11127.16</v>
      </c>
      <c r="J88" s="391">
        <v>12796.24</v>
      </c>
    </row>
    <row r="89" spans="1:10">
      <c r="A89" s="391">
        <v>19</v>
      </c>
      <c r="B89" s="391">
        <v>2751</v>
      </c>
      <c r="C89" s="391">
        <v>3225.47</v>
      </c>
      <c r="D89" s="391">
        <v>3709.28</v>
      </c>
      <c r="E89" s="391">
        <v>6579.34</v>
      </c>
      <c r="F89" s="391">
        <v>7566.25</v>
      </c>
      <c r="G89" s="391">
        <v>9247.36</v>
      </c>
      <c r="H89" s="430">
        <v>10634.46</v>
      </c>
      <c r="I89" s="391">
        <v>11933.68</v>
      </c>
      <c r="J89" s="391">
        <v>13723.73</v>
      </c>
    </row>
    <row r="90" spans="1:10">
      <c r="A90" s="391">
        <v>20</v>
      </c>
      <c r="B90" s="391">
        <v>2891</v>
      </c>
      <c r="C90" s="391">
        <v>3323.37</v>
      </c>
      <c r="D90" s="391">
        <v>3821.87</v>
      </c>
      <c r="E90" s="391">
        <v>7054.56</v>
      </c>
      <c r="F90" s="391">
        <v>8112.74</v>
      </c>
      <c r="G90" s="391">
        <v>9912.2999999999993</v>
      </c>
      <c r="H90" s="430">
        <v>11399.15</v>
      </c>
      <c r="I90" s="391">
        <v>12789.77</v>
      </c>
      <c r="J90" s="391">
        <v>14708.24</v>
      </c>
    </row>
    <row r="91" spans="1:10">
      <c r="A91" s="391">
        <v>21</v>
      </c>
      <c r="B91" s="391">
        <v>3031</v>
      </c>
      <c r="C91" s="391">
        <v>3440.46</v>
      </c>
      <c r="D91" s="391">
        <v>3956.52</v>
      </c>
      <c r="E91" s="391">
        <v>7560.1</v>
      </c>
      <c r="F91" s="391">
        <v>8694.11</v>
      </c>
      <c r="G91" s="391">
        <v>10619.06</v>
      </c>
      <c r="H91" s="430">
        <v>12211.92</v>
      </c>
      <c r="I91" s="391">
        <v>13699.26</v>
      </c>
      <c r="J91" s="391">
        <v>15754.15</v>
      </c>
    </row>
  </sheetData>
  <conditionalFormatting sqref="X22:Y22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B5" sqref="B5"/>
    </sheetView>
  </sheetViews>
  <sheetFormatPr defaultRowHeight="15"/>
  <cols>
    <col min="1" max="1" width="8.7109375" customWidth="1"/>
    <col min="2" max="2" width="8.7109375" style="37" customWidth="1"/>
    <col min="3" max="7" width="8.7109375" customWidth="1"/>
  </cols>
  <sheetData>
    <row r="1" spans="1:5">
      <c r="A1" s="178" t="s">
        <v>783</v>
      </c>
      <c r="B1" s="220" t="s">
        <v>784</v>
      </c>
      <c r="C1" s="178" t="s">
        <v>785</v>
      </c>
      <c r="D1" s="178"/>
      <c r="E1" s="178"/>
    </row>
    <row r="2" spans="1:5">
      <c r="A2" s="8" t="s">
        <v>469</v>
      </c>
      <c r="E2" s="4" t="s">
        <v>802</v>
      </c>
    </row>
    <row r="3" spans="1:5">
      <c r="A3" t="s">
        <v>768</v>
      </c>
      <c r="B3" s="37" t="s">
        <v>769</v>
      </c>
      <c r="E3" t="s">
        <v>786</v>
      </c>
    </row>
    <row r="4" spans="1:5">
      <c r="A4" t="s">
        <v>254</v>
      </c>
      <c r="B4" s="37" t="s">
        <v>91</v>
      </c>
      <c r="E4" t="s">
        <v>801</v>
      </c>
    </row>
    <row r="5" spans="1:5">
      <c r="A5" t="s">
        <v>253</v>
      </c>
      <c r="B5" s="37" t="s">
        <v>457</v>
      </c>
      <c r="E5" t="s">
        <v>964</v>
      </c>
    </row>
    <row r="6" spans="1:5">
      <c r="A6" t="s">
        <v>795</v>
      </c>
      <c r="B6" s="37" t="s">
        <v>796</v>
      </c>
      <c r="C6" t="s">
        <v>808</v>
      </c>
      <c r="E6" t="s">
        <v>787</v>
      </c>
    </row>
    <row r="7" spans="1:5">
      <c r="A7" t="s">
        <v>768</v>
      </c>
      <c r="B7" s="37" t="s">
        <v>790</v>
      </c>
      <c r="E7" t="s">
        <v>794</v>
      </c>
    </row>
    <row r="8" spans="1:5">
      <c r="A8" t="s">
        <v>251</v>
      </c>
      <c r="B8" s="37" t="s">
        <v>322</v>
      </c>
      <c r="C8" t="s">
        <v>323</v>
      </c>
      <c r="E8" t="s">
        <v>791</v>
      </c>
    </row>
    <row r="9" spans="1:5">
      <c r="A9" t="s">
        <v>251</v>
      </c>
      <c r="B9" s="37" t="s">
        <v>322</v>
      </c>
      <c r="C9" t="s">
        <v>325</v>
      </c>
      <c r="E9" t="s">
        <v>792</v>
      </c>
    </row>
    <row r="10" spans="1:5">
      <c r="A10" t="s">
        <v>251</v>
      </c>
      <c r="B10" s="37" t="s">
        <v>322</v>
      </c>
      <c r="C10" t="s">
        <v>324</v>
      </c>
      <c r="E10" t="s">
        <v>793</v>
      </c>
    </row>
    <row r="11" spans="1:5">
      <c r="A11" t="s">
        <v>795</v>
      </c>
      <c r="B11" s="37" t="s">
        <v>796</v>
      </c>
      <c r="E11" t="s">
        <v>809</v>
      </c>
    </row>
    <row r="12" spans="1:5" ht="409.5">
      <c r="A12" t="s">
        <v>795</v>
      </c>
      <c r="B12" s="37" t="s">
        <v>815</v>
      </c>
      <c r="E12" s="195" t="s">
        <v>821</v>
      </c>
    </row>
    <row r="13" spans="1: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>
      <c r="A20" t="s">
        <v>795</v>
      </c>
      <c r="B20" s="37" t="s">
        <v>837</v>
      </c>
      <c r="C20" t="s">
        <v>838</v>
      </c>
      <c r="D20" t="s">
        <v>847</v>
      </c>
      <c r="E20" s="195" t="s">
        <v>868</v>
      </c>
    </row>
    <row r="21" spans="1: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>
      <c r="A47" t="s">
        <v>795</v>
      </c>
      <c r="B47" s="16" t="s">
        <v>924</v>
      </c>
      <c r="C47" s="16" t="s">
        <v>925</v>
      </c>
      <c r="E47" t="s">
        <v>927</v>
      </c>
    </row>
    <row r="48" spans="1:5">
      <c r="A48" t="s">
        <v>256</v>
      </c>
      <c r="B48" s="16" t="s">
        <v>331</v>
      </c>
      <c r="C48" s="16" t="s">
        <v>339</v>
      </c>
      <c r="E48" t="s">
        <v>936</v>
      </c>
    </row>
    <row r="49" spans="1:5">
      <c r="A49" t="s">
        <v>256</v>
      </c>
      <c r="B49" s="16" t="s">
        <v>331</v>
      </c>
      <c r="C49" s="16" t="s">
        <v>345</v>
      </c>
      <c r="E49" t="s">
        <v>930</v>
      </c>
    </row>
    <row r="50" spans="1:5">
      <c r="A50" t="s">
        <v>256</v>
      </c>
      <c r="B50" s="16" t="s">
        <v>331</v>
      </c>
      <c r="C50" s="16" t="s">
        <v>324</v>
      </c>
      <c r="E50" t="s">
        <v>1424</v>
      </c>
    </row>
    <row r="51" spans="1:5">
      <c r="A51" t="s">
        <v>256</v>
      </c>
      <c r="B51" s="16" t="s">
        <v>331</v>
      </c>
      <c r="E51" t="s">
        <v>935</v>
      </c>
    </row>
    <row r="52" spans="1:5">
      <c r="A52" t="s">
        <v>253</v>
      </c>
      <c r="B52" s="16" t="s">
        <v>331</v>
      </c>
      <c r="E52" t="s">
        <v>1401</v>
      </c>
    </row>
    <row r="53" spans="1:5">
      <c r="A53" t="s">
        <v>253</v>
      </c>
      <c r="B53" s="37" t="s">
        <v>405</v>
      </c>
      <c r="E53" t="s">
        <v>964</v>
      </c>
    </row>
    <row r="54" spans="1:5">
      <c r="A54" t="s">
        <v>768</v>
      </c>
      <c r="B54" s="16" t="s">
        <v>1357</v>
      </c>
      <c r="C54" t="s">
        <v>1360</v>
      </c>
      <c r="E54" t="s">
        <v>1370</v>
      </c>
    </row>
    <row r="55" spans="1: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2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>
      <c r="A1" s="110" t="s">
        <v>268</v>
      </c>
      <c r="B1" s="221" t="s">
        <v>359</v>
      </c>
      <c r="C1" s="12" t="s">
        <v>0</v>
      </c>
      <c r="D1" s="36" t="s">
        <v>98</v>
      </c>
      <c r="E1" s="240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39" t="s">
        <v>104</v>
      </c>
      <c r="L1" s="343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>
      <c r="A2" s="110" t="s">
        <v>124</v>
      </c>
      <c r="B2" s="222">
        <v>9</v>
      </c>
      <c r="C2" s="14" t="s">
        <v>191</v>
      </c>
      <c r="D2" s="107">
        <f>Enginuity!$B$6+(Enginuity!$B$7*2)</f>
        <v>24</v>
      </c>
      <c r="E2" s="241">
        <v>11.46</v>
      </c>
      <c r="F2" s="104">
        <f>IF(D2*E2=0, "", D2*E2)</f>
        <v>275.04000000000002</v>
      </c>
      <c r="G2" s="18" t="s">
        <v>9</v>
      </c>
      <c r="H2" s="10">
        <f>2*Enginuity!$B$6 + 2*Enginuity!$B$7</f>
        <v>32</v>
      </c>
      <c r="I2" s="17">
        <v>1.1000000000000001</v>
      </c>
      <c r="J2" s="82">
        <f>IF(H2*I2=0, "", H2*I2)</f>
        <v>35.200000000000003</v>
      </c>
      <c r="K2" s="340"/>
      <c r="L2" s="344"/>
      <c r="M2" s="88">
        <v>1</v>
      </c>
      <c r="N2" s="92" t="str">
        <f>Enginuity!A19</f>
        <v>P/C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32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>
      <c r="A3" s="111" t="s">
        <v>113</v>
      </c>
      <c r="B3" s="222">
        <v>1.4</v>
      </c>
      <c r="C3" s="14" t="s">
        <v>194</v>
      </c>
      <c r="D3" s="107">
        <f>Enginuity!$B$6</f>
        <v>8</v>
      </c>
      <c r="E3" s="241">
        <v>2.99</v>
      </c>
      <c r="F3" s="104">
        <f t="shared" ref="F3:F49" si="0">IF(D3*E3=0, "", D3*E3)</f>
        <v>23.92</v>
      </c>
      <c r="G3" s="18"/>
      <c r="H3" s="10"/>
      <c r="I3" s="17"/>
      <c r="J3" s="82"/>
      <c r="K3" s="340"/>
      <c r="L3" s="344"/>
      <c r="M3" s="88">
        <v>2</v>
      </c>
      <c r="N3" s="14" t="s">
        <v>115</v>
      </c>
      <c r="O3" s="22">
        <f>IF(AND(Enginuity!$B$6&gt;0, Enginuity!$B$7&gt;0), ROUND(((Enginuity!$B$6 + Enginuity!$B$7) * 2), 2), "")</f>
        <v>32</v>
      </c>
      <c r="P3" s="14" t="s">
        <v>266</v>
      </c>
      <c r="Q3" s="82">
        <f>IF(AND(Enginuity!$B$6&gt;0, Enginuity!$B$7&gt;0, Enginuity!$B$13&gt;0), (2 * Enginuity!$B$7 * Enginuity!$B$13) + (2 * Enginuity!$B$6), "")</f>
        <v>80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Black Aluminium Mesh 1.6mm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13.5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>
      <c r="A4" s="110" t="s">
        <v>357</v>
      </c>
      <c r="B4" s="222">
        <v>8.6</v>
      </c>
      <c r="C4" s="14" t="s">
        <v>192</v>
      </c>
      <c r="D4" s="107">
        <f>Enginuity!$B$6</f>
        <v>8</v>
      </c>
      <c r="E4" s="241">
        <v>5.7</v>
      </c>
      <c r="F4" s="104">
        <f t="shared" si="0"/>
        <v>45.6</v>
      </c>
      <c r="G4" s="17"/>
      <c r="H4" s="10"/>
      <c r="I4" s="17"/>
      <c r="J4" s="82"/>
      <c r="K4" s="340"/>
      <c r="L4" s="344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80</v>
      </c>
      <c r="P4" s="14" t="s">
        <v>263</v>
      </c>
      <c r="Q4" s="82">
        <f>IF(Enginuity!$B$6&gt;0, Enginuity!$B$6, "")</f>
        <v>8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Black Aluminium Mesh 1.8mm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15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>
      <c r="A5" s="110" t="s">
        <v>358</v>
      </c>
      <c r="B5" s="222">
        <v>8.6</v>
      </c>
      <c r="C5" s="14" t="s">
        <v>193</v>
      </c>
      <c r="D5" s="14">
        <f>ROUNDUP((Enginuity!$B$6*0.3048)/5.8,0)</f>
        <v>1</v>
      </c>
      <c r="E5" s="241">
        <v>59</v>
      </c>
      <c r="F5" s="104">
        <f t="shared" si="0"/>
        <v>59</v>
      </c>
      <c r="G5" s="17"/>
      <c r="H5" s="10"/>
      <c r="I5" s="17"/>
      <c r="J5" s="82"/>
      <c r="K5" s="340"/>
      <c r="L5" s="344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160</v>
      </c>
      <c r="P5" s="14" t="s">
        <v>264</v>
      </c>
      <c r="Q5" s="82">
        <f>IF(Enginuity!$B$7&gt;0, Enginuity!$B$7, "")</f>
        <v>8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Black Stainless Steel Mesh 1.0mm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18.75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>
      <c r="A6" s="111" t="s">
        <v>360</v>
      </c>
      <c r="B6" s="222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E6" s="241">
        <v>0.56999999999999995</v>
      </c>
      <c r="F6" s="104">
        <f t="shared" si="0"/>
        <v>36.479999999999997</v>
      </c>
      <c r="G6" s="17"/>
      <c r="H6" s="10"/>
      <c r="I6" s="17"/>
      <c r="J6" s="82"/>
      <c r="K6" s="340"/>
      <c r="L6" s="344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P6" s="14" t="s">
        <v>265</v>
      </c>
      <c r="Q6" s="82">
        <f>IF(AND(Enginuity!$B$7&gt;0, Enginuity!$B$13&gt;1), (Enginuity!$B$13 - 1) * Enginuity!$B$7, "")</f>
        <v>24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6" s="5" t="str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>
      <c r="A7" s="111" t="s">
        <v>361</v>
      </c>
      <c r="B7" s="222">
        <v>3.97</v>
      </c>
      <c r="C7" s="14" t="s">
        <v>352</v>
      </c>
      <c r="D7" s="14">
        <v>1</v>
      </c>
      <c r="E7" s="241">
        <v>3.97</v>
      </c>
      <c r="F7" s="104">
        <f xml:space="preserve"> ((2*1*Enginuity!$B$13 + 2*Enginuity!$B$6) * $B$7)
+ (((Enginuity!$B$13-1)*1) * $B$8)
+ ($B$2 * Enginuity!$B$13)
+ ($B$3 * Enginuity!$B$13)</f>
        <v>149.41999999999999</v>
      </c>
      <c r="G7" s="17"/>
      <c r="H7" s="10"/>
      <c r="I7" s="17"/>
      <c r="J7" s="82"/>
      <c r="K7" s="340"/>
      <c r="L7" s="344"/>
      <c r="M7" s="88">
        <v>6</v>
      </c>
      <c r="N7" s="14" t="s">
        <v>274</v>
      </c>
      <c r="O7" s="22">
        <f>Enginuity!$B$13</f>
        <v>4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>
      <c r="A8" s="111" t="s">
        <v>362</v>
      </c>
      <c r="B8" s="222">
        <v>4.18</v>
      </c>
      <c r="C8" s="14" t="s">
        <v>356</v>
      </c>
      <c r="D8" s="14">
        <v>1</v>
      </c>
      <c r="E8" s="241">
        <v>1.75</v>
      </c>
      <c r="F8" s="104">
        <f xml:space="preserve"> ((2*1*Enginuity!$B$13 + 2*Enginuity!$B$6) * $B$9)
+ (((Enginuity!$B$13-1)*1) * $B$8)</f>
        <v>54.54</v>
      </c>
      <c r="G8" s="17"/>
      <c r="H8" s="10"/>
      <c r="I8" s="17"/>
      <c r="J8" s="82"/>
      <c r="K8" s="340"/>
      <c r="L8" s="344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P8" s="14" t="s">
        <v>278</v>
      </c>
      <c r="Q8" s="82">
        <f>Enginuity!$B$6*2</f>
        <v>16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>
      <c r="A9" s="111" t="s">
        <v>363</v>
      </c>
      <c r="B9" s="222">
        <v>1.75</v>
      </c>
      <c r="C9" s="14" t="s">
        <v>257</v>
      </c>
      <c r="D9" s="14">
        <f>(3*Enginuity!$B$6)+(Enginuity!$B$7*Enginuity!$B$13)</f>
        <v>56</v>
      </c>
      <c r="E9" s="242">
        <v>1.86</v>
      </c>
      <c r="F9" s="104">
        <f t="shared" si="0"/>
        <v>104.16000000000001</v>
      </c>
      <c r="G9" s="17"/>
      <c r="H9" s="10"/>
      <c r="I9" s="17"/>
      <c r="J9" s="82"/>
      <c r="K9" s="340"/>
      <c r="L9" s="344"/>
      <c r="M9" s="88">
        <v>8</v>
      </c>
      <c r="N9" s="14" t="s">
        <v>276</v>
      </c>
      <c r="O9" s="22">
        <f>Enginuity!$B$13*IF(TRIM(Enginuity!$A$21)="1'H X ?'W X Qty Panel Top Hung (Casement Profile)",2,1)</f>
        <v>4</v>
      </c>
      <c r="P9" s="14" t="s">
        <v>281</v>
      </c>
      <c r="Q9" s="97">
        <f>Enginuity!$B$6</f>
        <v>8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>
      <c r="A10" s="116" t="s">
        <v>406</v>
      </c>
      <c r="B10" s="222">
        <v>26.25</v>
      </c>
      <c r="C10" s="14" t="s">
        <v>269</v>
      </c>
      <c r="D10" s="14">
        <f>(4*Enginuity!$B$6)+(2*Enginuity!$B$7*Enginuity!$B$13)</f>
        <v>96</v>
      </c>
      <c r="E10" s="242">
        <v>1.86</v>
      </c>
      <c r="F10" s="104">
        <f t="shared" si="0"/>
        <v>178.56</v>
      </c>
      <c r="G10" s="17"/>
      <c r="H10" s="10"/>
      <c r="I10" s="17"/>
      <c r="J10" s="82"/>
      <c r="K10" s="340"/>
      <c r="L10" s="344"/>
      <c r="M10" s="88">
        <v>9</v>
      </c>
      <c r="N10" s="14" t="s">
        <v>122</v>
      </c>
      <c r="O10" s="22">
        <f>Enginuity!$B$13*4</f>
        <v>16</v>
      </c>
      <c r="P10" s="14" t="s">
        <v>282</v>
      </c>
      <c r="Q10" s="82">
        <f>Enginuity!$B$6*2</f>
        <v>16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>
      <c r="A11" s="116" t="s">
        <v>407</v>
      </c>
      <c r="B11" s="222">
        <v>34.65</v>
      </c>
      <c r="C11" s="14" t="s">
        <v>352</v>
      </c>
      <c r="D11" s="14">
        <v>1</v>
      </c>
      <c r="E11" s="241">
        <f>($B$2 * Enginuity!$B$13)
+ ($B$3 * Enginuity!$B$13)
+ ((2*1 + 2*Enginuity!$B$6) * $B$6)
+ ((2*1*Enginuity!$B$13 + 2*Enginuity!$B$6) * $B$7)
+ (((Enginuity!$B$13-1)*1) * $B$8)
+ (Enginuity!$B$6 * $B$4)</f>
        <v>269.7</v>
      </c>
      <c r="F11" s="104">
        <f>IF(D11*E11=0, "", D11*E11)</f>
        <v>269.7</v>
      </c>
      <c r="G11" s="17"/>
      <c r="H11" s="10"/>
      <c r="I11" s="17"/>
      <c r="J11" s="82"/>
      <c r="K11" s="340"/>
      <c r="L11" s="344"/>
      <c r="M11" s="88">
        <v>10</v>
      </c>
      <c r="N11" s="14" t="s">
        <v>140</v>
      </c>
      <c r="O11" s="22">
        <f>Enginuity!$B$13*2</f>
        <v>8</v>
      </c>
      <c r="P11" s="14" t="s">
        <v>283</v>
      </c>
      <c r="Q11" s="82">
        <f>Enginuity!$B$6*2</f>
        <v>16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>
      <c r="A12" s="116" t="s">
        <v>375</v>
      </c>
      <c r="B12" s="222">
        <v>52.5</v>
      </c>
      <c r="C12" s="14" t="s">
        <v>356</v>
      </c>
      <c r="D12" s="14">
        <v>1</v>
      </c>
      <c r="E12" s="241">
        <f>((2*1 + 2*Enginuity!$B$6) * $B$6)
+ ((2*1*Enginuity!$B$13 + 2*Enginuity!$B$6) * $B$9)
+ (((Enginuity!$B$13-1)*1) * $B$8)
+ (Enginuity!$B$6 * $B$4)</f>
        <v>174.82</v>
      </c>
      <c r="F12" s="104">
        <f>IF(D12*E12=0, "", D12*E12)</f>
        <v>174.82</v>
      </c>
      <c r="G12" s="17"/>
      <c r="H12" s="10"/>
      <c r="I12" s="17"/>
      <c r="J12" s="82"/>
      <c r="K12" s="340"/>
      <c r="L12" s="344"/>
      <c r="M12" s="88">
        <v>11</v>
      </c>
      <c r="N12" s="14" t="s">
        <v>292</v>
      </c>
      <c r="O12" s="22">
        <f>Enginuity!$B$6*4</f>
        <v>32</v>
      </c>
      <c r="P12" s="14" t="s">
        <v>284</v>
      </c>
      <c r="Q12" s="97">
        <f>Enginuity!$B$6</f>
        <v>8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>
      <c r="A13" s="116" t="s">
        <v>376</v>
      </c>
      <c r="B13" s="222">
        <v>157.5</v>
      </c>
      <c r="C13" s="14"/>
      <c r="D13" s="14"/>
      <c r="E13" s="243"/>
      <c r="F13" s="22" t="str">
        <f t="shared" si="0"/>
        <v/>
      </c>
      <c r="G13" s="17"/>
      <c r="H13" s="10"/>
      <c r="I13" s="17"/>
      <c r="J13" s="82"/>
      <c r="K13" s="340"/>
      <c r="L13" s="344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16</v>
      </c>
      <c r="P13" s="14" t="s">
        <v>285</v>
      </c>
      <c r="Q13" s="82">
        <f>Enginuity!$B$6*2</f>
        <v>16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>
      <c r="A14" s="117" t="s">
        <v>377</v>
      </c>
      <c r="B14" s="222">
        <v>84</v>
      </c>
      <c r="C14" s="14"/>
      <c r="D14" s="14"/>
      <c r="E14" s="243"/>
      <c r="F14" s="22" t="str">
        <f t="shared" si="0"/>
        <v/>
      </c>
      <c r="G14" s="17"/>
      <c r="H14" s="10"/>
      <c r="I14" s="17"/>
      <c r="J14" s="82"/>
      <c r="K14" s="340"/>
      <c r="L14" s="344"/>
      <c r="M14" s="88">
        <v>13</v>
      </c>
      <c r="N14" s="14" t="s">
        <v>308</v>
      </c>
      <c r="O14" s="22">
        <f>IF(AND(ISNUMBER(Enginuity!B13), Enginuity!B13&gt;0), Enginuity!B13*4, "")</f>
        <v>16</v>
      </c>
      <c r="P14" s="14" t="s">
        <v>286</v>
      </c>
      <c r="Q14" s="82">
        <f>IF(Enginuity!$B$7&gt;0, 2 * Enginuity!$B$7, "")</f>
        <v>16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>
      <c r="A15" s="117" t="s">
        <v>378</v>
      </c>
      <c r="B15" s="222">
        <v>126</v>
      </c>
      <c r="C15" s="14"/>
      <c r="D15" s="14"/>
      <c r="E15" s="155"/>
      <c r="F15" s="22" t="str">
        <f t="shared" si="0"/>
        <v/>
      </c>
      <c r="G15" s="17"/>
      <c r="H15" s="10"/>
      <c r="I15" s="17"/>
      <c r="J15" s="82"/>
      <c r="K15" s="340"/>
      <c r="L15" s="344"/>
      <c r="M15" s="88">
        <v>14</v>
      </c>
      <c r="N15" s="14"/>
      <c r="O15" s="22"/>
      <c r="P15" s="14" t="s">
        <v>287</v>
      </c>
      <c r="Q15" s="82">
        <f>IF(Enginuity!$B$7&gt;0, 2 * Enginuity!$B$7, "")</f>
        <v>16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>
      <c r="A16" s="117" t="s">
        <v>379</v>
      </c>
      <c r="B16" s="222">
        <v>210</v>
      </c>
      <c r="C16" s="14"/>
      <c r="D16" s="14"/>
      <c r="E16" s="155"/>
      <c r="F16" s="22" t="str">
        <f t="shared" si="0"/>
        <v/>
      </c>
      <c r="G16" s="17"/>
      <c r="H16" s="10"/>
      <c r="I16" s="17"/>
      <c r="J16" s="82"/>
      <c r="K16" s="340"/>
      <c r="L16" s="344"/>
      <c r="M16" s="88">
        <v>15</v>
      </c>
      <c r="N16" s="14"/>
      <c r="O16" s="22"/>
      <c r="P16" s="14" t="s">
        <v>288</v>
      </c>
      <c r="Q16" s="82">
        <f>IF(Enginuity!$B$7&gt;0, 2 * Enginuity!$B$7, "")</f>
        <v>16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>
      <c r="A17" s="118" t="s">
        <v>381</v>
      </c>
      <c r="B17" s="222">
        <v>10.5</v>
      </c>
      <c r="C17" s="14"/>
      <c r="D17" s="107"/>
      <c r="E17" s="155"/>
      <c r="F17" s="22" t="str">
        <f t="shared" si="0"/>
        <v/>
      </c>
      <c r="G17" s="17"/>
      <c r="H17" s="10"/>
      <c r="I17" s="17"/>
      <c r="J17" s="82"/>
      <c r="K17" s="340"/>
      <c r="L17" s="344"/>
      <c r="M17" s="88">
        <v>16</v>
      </c>
      <c r="N17" s="14"/>
      <c r="O17" s="22"/>
      <c r="P17" s="14" t="s">
        <v>289</v>
      </c>
      <c r="Q17" s="82">
        <f>IF(Enginuity!$B$6&gt;0, Enginuity!$B$6, "")</f>
        <v>8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>
      <c r="A18" s="112" t="s">
        <v>388</v>
      </c>
      <c r="B18" s="222">
        <v>30</v>
      </c>
      <c r="C18" s="14"/>
      <c r="D18" s="14"/>
      <c r="E18" s="155"/>
      <c r="F18" s="22" t="str">
        <f t="shared" si="0"/>
        <v/>
      </c>
      <c r="G18" s="17"/>
      <c r="H18" s="10"/>
      <c r="I18" s="17"/>
      <c r="J18" s="82"/>
      <c r="K18" s="340"/>
      <c r="L18" s="344"/>
      <c r="M18" s="88">
        <v>17</v>
      </c>
      <c r="N18" s="14"/>
      <c r="O18" s="22"/>
      <c r="P18" s="14" t="s">
        <v>290</v>
      </c>
      <c r="Q18" s="82">
        <f>IF(Enginuity!$B$6&gt;0, Enginuity!$B$6, "")</f>
        <v>8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>
      <c r="A19" s="14" t="s">
        <v>380</v>
      </c>
      <c r="B19" s="222">
        <v>29.93</v>
      </c>
      <c r="C19" s="14"/>
      <c r="D19" s="14"/>
      <c r="E19" s="155"/>
      <c r="F19" s="22" t="str">
        <f t="shared" si="0"/>
        <v/>
      </c>
      <c r="G19" s="17"/>
      <c r="H19" s="10"/>
      <c r="I19" s="17"/>
      <c r="J19" s="82"/>
      <c r="K19" s="340"/>
      <c r="L19" s="344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32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>
      <c r="A20" s="111" t="s">
        <v>389</v>
      </c>
      <c r="B20" s="222">
        <v>65</v>
      </c>
      <c r="C20" s="14"/>
      <c r="D20" s="14"/>
      <c r="E20" s="155"/>
      <c r="F20" s="22" t="str">
        <f t="shared" si="0"/>
        <v/>
      </c>
      <c r="G20" s="17"/>
      <c r="H20" s="10"/>
      <c r="I20" s="17"/>
      <c r="J20" s="82"/>
      <c r="K20" s="340"/>
      <c r="L20" s="344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32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>
      <c r="A21" s="111" t="s">
        <v>400</v>
      </c>
      <c r="B21" s="222">
        <v>16.46</v>
      </c>
      <c r="C21" s="14"/>
      <c r="D21" s="14"/>
      <c r="E21" s="155"/>
      <c r="F21" s="22" t="str">
        <f t="shared" si="0"/>
        <v/>
      </c>
      <c r="G21" s="17"/>
      <c r="H21" s="10"/>
      <c r="I21" s="17"/>
      <c r="J21" s="82"/>
      <c r="K21" s="340"/>
      <c r="L21" s="344"/>
      <c r="M21" s="88">
        <v>20</v>
      </c>
      <c r="N21" s="14"/>
      <c r="O21" s="22"/>
      <c r="P21" s="14" t="s">
        <v>109</v>
      </c>
      <c r="Q21" s="82">
        <f>IF(Enginuity!$B$7&gt;0, Enginuity!$B$7, "")</f>
        <v>8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>
      <c r="A22" s="111" t="s">
        <v>441</v>
      </c>
      <c r="B22" s="222">
        <v>26.25</v>
      </c>
      <c r="C22" s="14"/>
      <c r="D22" s="14"/>
      <c r="E22" s="155"/>
      <c r="F22" s="22" t="str">
        <f t="shared" si="0"/>
        <v/>
      </c>
      <c r="G22" s="17"/>
      <c r="H22" s="10"/>
      <c r="I22" s="17"/>
      <c r="J22" s="82"/>
      <c r="K22" s="340"/>
      <c r="L22" s="344"/>
      <c r="M22" s="88">
        <v>21</v>
      </c>
      <c r="N22" s="14"/>
      <c r="O22" s="22"/>
      <c r="P22" s="14" t="s">
        <v>261</v>
      </c>
      <c r="Q22" s="82">
        <f>IF(Enginuity!$B$7&gt;0, 2 * Enginuity!$B$7, "")</f>
        <v>16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>
      <c r="A23" s="167" t="s">
        <v>757</v>
      </c>
      <c r="B23" s="223">
        <v>110</v>
      </c>
      <c r="C23" s="10"/>
      <c r="D23" s="14"/>
      <c r="E23" s="155"/>
      <c r="F23" s="22" t="str">
        <f t="shared" si="0"/>
        <v/>
      </c>
      <c r="G23" s="17"/>
      <c r="H23" s="10"/>
      <c r="I23" s="17"/>
      <c r="J23" s="82"/>
      <c r="K23" s="340"/>
      <c r="L23" s="344"/>
      <c r="M23" s="88">
        <v>22</v>
      </c>
      <c r="N23" s="14"/>
      <c r="O23" s="22"/>
      <c r="P23" s="14" t="s">
        <v>260</v>
      </c>
      <c r="Q23" s="82">
        <f>IF(Enginuity!$B$7&gt;0, 2 * Enginuity!$B$7, "")</f>
        <v>16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>
      <c r="A24" s="167" t="s">
        <v>758</v>
      </c>
      <c r="B24" s="223">
        <v>200</v>
      </c>
      <c r="C24" s="22"/>
      <c r="D24" s="14"/>
      <c r="E24" s="155"/>
      <c r="F24" s="22" t="str">
        <f t="shared" si="0"/>
        <v/>
      </c>
      <c r="G24" s="17"/>
      <c r="H24" s="10"/>
      <c r="I24" s="17"/>
      <c r="J24" s="82"/>
      <c r="K24" s="340"/>
      <c r="L24" s="344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>
      <c r="A25" s="167" t="s">
        <v>759</v>
      </c>
      <c r="B25" s="223">
        <v>300</v>
      </c>
      <c r="C25" s="10"/>
      <c r="D25" s="14"/>
      <c r="E25" s="155"/>
      <c r="F25" s="22" t="str">
        <f t="shared" si="0"/>
        <v/>
      </c>
      <c r="G25" s="17"/>
      <c r="H25" s="10"/>
      <c r="I25" s="17"/>
      <c r="J25" s="82"/>
      <c r="K25" s="340"/>
      <c r="L25" s="344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>
      <c r="A26" s="167" t="s">
        <v>760</v>
      </c>
      <c r="B26" s="223">
        <v>400</v>
      </c>
      <c r="C26" s="10"/>
      <c r="D26" s="14"/>
      <c r="E26" s="155"/>
      <c r="F26" s="22" t="str">
        <f t="shared" si="0"/>
        <v/>
      </c>
      <c r="G26" s="17"/>
      <c r="H26" s="10"/>
      <c r="I26" s="17"/>
      <c r="J26" s="82"/>
      <c r="K26" s="340"/>
      <c r="L26" s="344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>
      <c r="A27" s="167" t="s">
        <v>754</v>
      </c>
      <c r="B27" s="224">
        <v>60</v>
      </c>
      <c r="C27" s="10"/>
      <c r="D27" s="14"/>
      <c r="E27" s="155"/>
      <c r="F27" s="22" t="str">
        <f t="shared" si="0"/>
        <v/>
      </c>
      <c r="G27" s="17"/>
      <c r="H27" s="10"/>
      <c r="I27" s="17"/>
      <c r="J27" s="82"/>
      <c r="K27" s="340"/>
      <c r="L27" s="344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>
      <c r="A28" s="167" t="s">
        <v>305</v>
      </c>
      <c r="B28" s="224">
        <v>100</v>
      </c>
      <c r="C28" s="10"/>
      <c r="D28" s="14"/>
      <c r="E28" s="155"/>
      <c r="F28" s="22" t="str">
        <f t="shared" si="0"/>
        <v/>
      </c>
      <c r="G28" s="17"/>
      <c r="H28" s="10"/>
      <c r="I28" s="17"/>
      <c r="J28" s="82"/>
      <c r="K28" s="340"/>
      <c r="L28" s="344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>
      <c r="A29" s="167" t="s">
        <v>762</v>
      </c>
      <c r="B29" s="224">
        <v>75</v>
      </c>
      <c r="C29" s="22"/>
      <c r="D29" s="14"/>
      <c r="E29" s="155"/>
      <c r="F29" s="22" t="str">
        <f t="shared" si="0"/>
        <v/>
      </c>
      <c r="G29" s="17"/>
      <c r="H29" s="10"/>
      <c r="I29" s="17"/>
      <c r="J29" s="82"/>
      <c r="K29" s="340"/>
      <c r="L29" s="344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>
      <c r="A30" s="111" t="s">
        <v>816</v>
      </c>
      <c r="B30" s="222">
        <v>200</v>
      </c>
      <c r="C30" s="22"/>
      <c r="D30" s="14"/>
      <c r="E30" s="155"/>
      <c r="F30" s="22" t="str">
        <f t="shared" si="0"/>
        <v/>
      </c>
      <c r="G30" s="17"/>
      <c r="H30" s="10"/>
      <c r="I30" s="17"/>
      <c r="J30" s="82"/>
      <c r="K30" s="340"/>
      <c r="L30" s="344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>
      <c r="A31" s="111"/>
      <c r="B31" s="222"/>
      <c r="C31" s="10"/>
      <c r="D31" s="14"/>
      <c r="E31" s="155"/>
      <c r="F31" s="22" t="str">
        <f t="shared" si="0"/>
        <v/>
      </c>
      <c r="G31" s="17"/>
      <c r="H31" s="10"/>
      <c r="I31" s="17"/>
      <c r="J31" s="82"/>
      <c r="K31" s="340"/>
      <c r="L31" s="344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>
      <c r="A32" s="111"/>
      <c r="B32" s="222"/>
      <c r="C32" s="10"/>
      <c r="D32" s="14"/>
      <c r="E32" s="155"/>
      <c r="F32" s="22" t="str">
        <f t="shared" si="0"/>
        <v/>
      </c>
      <c r="G32" s="17"/>
      <c r="H32" s="10"/>
      <c r="I32" s="17"/>
      <c r="J32" s="82"/>
      <c r="K32" s="340"/>
      <c r="L32" s="344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>
      <c r="A33" s="111"/>
      <c r="B33" s="222"/>
      <c r="C33" s="10"/>
      <c r="D33" s="14"/>
      <c r="E33" s="155"/>
      <c r="F33" s="22" t="str">
        <f t="shared" si="0"/>
        <v/>
      </c>
      <c r="G33" s="17"/>
      <c r="H33" s="10"/>
      <c r="I33" s="17"/>
      <c r="J33" s="82"/>
      <c r="K33" s="340"/>
      <c r="L33" s="344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>
      <c r="A34" s="111"/>
      <c r="B34" s="222"/>
      <c r="C34" s="10"/>
      <c r="D34" s="14"/>
      <c r="E34" s="155"/>
      <c r="F34" s="22" t="str">
        <f t="shared" si="0"/>
        <v/>
      </c>
      <c r="G34" s="17"/>
      <c r="H34" s="10"/>
      <c r="I34" s="17"/>
      <c r="J34" s="82"/>
      <c r="K34" s="340"/>
      <c r="L34" s="344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>
      <c r="A35" s="111"/>
      <c r="B35" s="222"/>
      <c r="C35" s="10"/>
      <c r="D35" s="14"/>
      <c r="E35" s="155"/>
      <c r="F35" s="22" t="str">
        <f t="shared" si="0"/>
        <v/>
      </c>
      <c r="G35" s="17"/>
      <c r="H35" s="10"/>
      <c r="I35" s="17"/>
      <c r="J35" s="82"/>
      <c r="K35" s="340"/>
      <c r="L35" s="344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>
      <c r="A36" s="111"/>
      <c r="B36" s="222"/>
      <c r="C36" s="10"/>
      <c r="D36" s="14"/>
      <c r="E36" s="155"/>
      <c r="F36" s="22" t="str">
        <f t="shared" si="0"/>
        <v/>
      </c>
      <c r="G36" s="17"/>
      <c r="H36" s="10"/>
      <c r="I36" s="17"/>
      <c r="J36" s="82"/>
      <c r="K36" s="340"/>
      <c r="L36" s="344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>
      <c r="A37" s="111"/>
      <c r="B37" s="222"/>
      <c r="C37" s="10"/>
      <c r="D37" s="14"/>
      <c r="E37" s="155"/>
      <c r="F37" s="22" t="str">
        <f t="shared" si="0"/>
        <v/>
      </c>
      <c r="G37" s="17"/>
      <c r="H37" s="10"/>
      <c r="I37" s="17"/>
      <c r="J37" s="82"/>
      <c r="K37" s="340"/>
      <c r="L37" s="344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>
      <c r="A38" s="111"/>
      <c r="B38" s="222"/>
      <c r="C38" s="10"/>
      <c r="D38" s="14"/>
      <c r="E38" s="155"/>
      <c r="F38" s="22" t="str">
        <f t="shared" si="0"/>
        <v/>
      </c>
      <c r="G38" s="17"/>
      <c r="H38" s="10"/>
      <c r="I38" s="17"/>
      <c r="J38" s="82"/>
      <c r="K38" s="340"/>
      <c r="L38" s="344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>
      <c r="A39" s="111"/>
      <c r="B39" s="222"/>
      <c r="C39" s="10"/>
      <c r="D39" s="14"/>
      <c r="E39" s="155"/>
      <c r="F39" s="22" t="str">
        <f t="shared" si="0"/>
        <v/>
      </c>
      <c r="G39" s="17"/>
      <c r="H39" s="10"/>
      <c r="I39" s="17"/>
      <c r="J39" s="82"/>
      <c r="K39" s="340"/>
      <c r="L39" s="344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>
      <c r="A40" s="111"/>
      <c r="B40" s="222"/>
      <c r="C40" s="10"/>
      <c r="D40" s="14"/>
      <c r="E40" s="155"/>
      <c r="F40" s="22" t="str">
        <f t="shared" si="0"/>
        <v/>
      </c>
      <c r="G40" s="17"/>
      <c r="H40" s="10"/>
      <c r="I40" s="17"/>
      <c r="J40" s="82"/>
      <c r="K40" s="340"/>
      <c r="L40" s="344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>
      <c r="A41" s="111"/>
      <c r="B41" s="222"/>
      <c r="C41" s="10"/>
      <c r="D41" s="14"/>
      <c r="E41" s="155"/>
      <c r="F41" s="22" t="str">
        <f t="shared" si="0"/>
        <v/>
      </c>
      <c r="G41" s="17"/>
      <c r="H41" s="10"/>
      <c r="I41" s="17"/>
      <c r="J41" s="82"/>
      <c r="K41" s="340"/>
      <c r="L41" s="344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>
      <c r="A42" s="111"/>
      <c r="B42" s="222"/>
      <c r="C42" s="10"/>
      <c r="D42" s="14"/>
      <c r="E42" s="155"/>
      <c r="F42" s="22" t="str">
        <f t="shared" si="0"/>
        <v/>
      </c>
      <c r="G42" s="17"/>
      <c r="H42" s="10"/>
      <c r="I42" s="17"/>
      <c r="J42" s="82"/>
      <c r="K42" s="340"/>
      <c r="L42" s="344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>
      <c r="A43" s="111"/>
      <c r="B43" s="222"/>
      <c r="C43" s="10"/>
      <c r="D43" s="14"/>
      <c r="E43" s="155"/>
      <c r="F43" s="22" t="str">
        <f t="shared" si="0"/>
        <v/>
      </c>
      <c r="G43" s="17"/>
      <c r="H43" s="10"/>
      <c r="I43" s="17"/>
      <c r="J43" s="82"/>
      <c r="K43" s="340"/>
      <c r="L43" s="344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>
      <c r="A44" s="111"/>
      <c r="B44" s="222"/>
      <c r="C44" s="10"/>
      <c r="D44" s="14"/>
      <c r="E44" s="155"/>
      <c r="F44" s="22" t="str">
        <f t="shared" si="0"/>
        <v/>
      </c>
      <c r="G44" s="17"/>
      <c r="H44" s="10"/>
      <c r="I44" s="17"/>
      <c r="J44" s="82"/>
      <c r="K44" s="340"/>
      <c r="L44" s="344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>
      <c r="A45" s="111"/>
      <c r="B45" s="222"/>
      <c r="C45" s="10"/>
      <c r="D45" s="14"/>
      <c r="E45" s="155"/>
      <c r="F45" s="22" t="str">
        <f t="shared" si="0"/>
        <v/>
      </c>
      <c r="G45" s="17"/>
      <c r="H45" s="10"/>
      <c r="I45" s="17"/>
      <c r="J45" s="82"/>
      <c r="K45" s="340"/>
      <c r="L45" s="344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>
      <c r="A46" s="111"/>
      <c r="B46" s="222"/>
      <c r="C46" s="10"/>
      <c r="D46" s="14"/>
      <c r="E46" s="155"/>
      <c r="F46" s="22" t="str">
        <f t="shared" si="0"/>
        <v/>
      </c>
      <c r="G46" s="17"/>
      <c r="H46" s="10"/>
      <c r="I46" s="17"/>
      <c r="J46" s="82"/>
      <c r="K46" s="340"/>
      <c r="L46" s="344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>
      <c r="A47" s="111"/>
      <c r="B47" s="222"/>
      <c r="C47" s="10"/>
      <c r="D47" s="14"/>
      <c r="E47" s="155"/>
      <c r="F47" s="22" t="str">
        <f t="shared" si="0"/>
        <v/>
      </c>
      <c r="G47" s="17"/>
      <c r="H47" s="10"/>
      <c r="I47" s="17"/>
      <c r="J47" s="82"/>
      <c r="K47" s="340"/>
      <c r="L47" s="344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>
      <c r="A48" s="111"/>
      <c r="B48" s="222"/>
      <c r="C48" s="10"/>
      <c r="D48" s="14"/>
      <c r="E48" s="155"/>
      <c r="F48" s="22" t="str">
        <f t="shared" si="0"/>
        <v/>
      </c>
      <c r="G48" s="17"/>
      <c r="H48" s="10"/>
      <c r="I48" s="17"/>
      <c r="J48" s="82"/>
      <c r="K48" s="340"/>
      <c r="L48" s="344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>
      <c r="A49" s="111"/>
      <c r="B49" s="222"/>
      <c r="C49" s="10"/>
      <c r="D49" s="14"/>
      <c r="E49" s="155"/>
      <c r="F49" s="22" t="str">
        <f t="shared" si="0"/>
        <v/>
      </c>
      <c r="G49" s="17"/>
      <c r="H49" s="10"/>
      <c r="I49" s="17"/>
      <c r="J49" s="82"/>
      <c r="K49" s="340"/>
      <c r="L49" s="344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>
      <c r="A50" s="80" t="s">
        <v>469</v>
      </c>
      <c r="B50" s="225" t="s">
        <v>93</v>
      </c>
      <c r="C50" s="80" t="s">
        <v>468</v>
      </c>
      <c r="D50" s="80" t="s">
        <v>94</v>
      </c>
      <c r="E50" s="234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39" t="s">
        <v>96</v>
      </c>
      <c r="L50" s="343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>
      <c r="A51" s="10" t="s">
        <v>254</v>
      </c>
      <c r="B51" s="226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5" t="s">
        <v>257</v>
      </c>
      <c r="F51" s="14" t="s">
        <v>352</v>
      </c>
      <c r="G51" s="17" t="s">
        <v>9</v>
      </c>
      <c r="H51" s="10"/>
      <c r="I51" s="17"/>
      <c r="J51" s="82"/>
      <c r="K51" s="341">
        <v>0.54644999999999999</v>
      </c>
      <c r="L51" s="344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32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>
      <c r="A52" s="10" t="s">
        <v>254</v>
      </c>
      <c r="B52" s="226" t="s">
        <v>3</v>
      </c>
      <c r="C52" s="10" t="s">
        <v>107</v>
      </c>
      <c r="D52" s="14" t="str">
        <v>Black Aluminium Mesh 1.6mm</v>
      </c>
      <c r="E52" s="155" t="s">
        <v>269</v>
      </c>
      <c r="F52" s="14" t="s">
        <v>356</v>
      </c>
      <c r="G52" s="17"/>
      <c r="H52" s="10"/>
      <c r="I52" s="17"/>
      <c r="J52" s="82"/>
      <c r="K52" s="340"/>
      <c r="L52" s="344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80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>
      <c r="A53" s="10" t="s">
        <v>254</v>
      </c>
      <c r="B53" s="226" t="s">
        <v>3</v>
      </c>
      <c r="C53" s="10" t="s">
        <v>107</v>
      </c>
      <c r="D53" s="14" t="str">
        <v>Black Aluminium Mesh 1.8mm</v>
      </c>
      <c r="E53" s="155"/>
      <c r="F53" s="10"/>
      <c r="G53" s="17"/>
      <c r="H53" s="10"/>
      <c r="I53" s="17"/>
      <c r="J53" s="82"/>
      <c r="K53" s="340"/>
      <c r="L53" s="344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>
      <c r="A54" s="10" t="s">
        <v>254</v>
      </c>
      <c r="B54" s="226" t="s">
        <v>3</v>
      </c>
      <c r="C54" s="10" t="s">
        <v>107</v>
      </c>
      <c r="D54" s="14" t="str">
        <v>Black Stainless Steel Mesh 1.0mm</v>
      </c>
      <c r="E54" s="155"/>
      <c r="F54" s="10"/>
      <c r="G54" s="17"/>
      <c r="H54" s="10"/>
      <c r="I54" s="17"/>
      <c r="J54" s="82"/>
      <c r="K54" s="340"/>
      <c r="L54" s="344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24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>
      <c r="A55" s="10" t="s">
        <v>254</v>
      </c>
      <c r="B55" s="226" t="s">
        <v>3</v>
      </c>
      <c r="C55" s="10" t="s">
        <v>107</v>
      </c>
      <c r="D55" s="14" t="str">
        <v/>
      </c>
      <c r="E55" s="155"/>
      <c r="F55" s="10"/>
      <c r="G55" s="17"/>
      <c r="H55" s="10"/>
      <c r="I55" s="17"/>
      <c r="J55" s="82"/>
      <c r="K55" s="340"/>
      <c r="L55" s="344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>
      <c r="A56" s="10" t="s">
        <v>254</v>
      </c>
      <c r="B56" s="226" t="s">
        <v>3</v>
      </c>
      <c r="C56" s="10" t="s">
        <v>107</v>
      </c>
      <c r="D56" s="14" t="str">
        <v/>
      </c>
      <c r="E56" s="155"/>
      <c r="F56" s="10"/>
      <c r="G56" s="17"/>
      <c r="H56" s="10"/>
      <c r="I56" s="17"/>
      <c r="J56" s="82"/>
      <c r="K56" s="340"/>
      <c r="L56" s="344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Breezway 102mm Glass Infill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>
      <c r="A57" s="10" t="s">
        <v>254</v>
      </c>
      <c r="B57" s="226" t="s">
        <v>3</v>
      </c>
      <c r="C57" s="10" t="s">
        <v>107</v>
      </c>
      <c r="D57" s="14" t="str">
        <v/>
      </c>
      <c r="E57" s="155"/>
      <c r="F57" s="10"/>
      <c r="G57" s="17"/>
      <c r="H57" s="10"/>
      <c r="I57" s="17"/>
      <c r="J57" s="82"/>
      <c r="K57" s="340"/>
      <c r="L57" s="344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>
      <c r="A58" s="10" t="s">
        <v>254</v>
      </c>
      <c r="B58" s="226" t="s">
        <v>3</v>
      </c>
      <c r="C58" s="10" t="s">
        <v>107</v>
      </c>
      <c r="D58" s="14" t="str">
        <v/>
      </c>
      <c r="E58" s="155"/>
      <c r="F58" s="10"/>
      <c r="G58" s="17"/>
      <c r="H58" s="10"/>
      <c r="I58" s="17"/>
      <c r="J58" s="82"/>
      <c r="K58" s="340"/>
      <c r="L58" s="344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>
      <c r="A59" s="10" t="s">
        <v>254</v>
      </c>
      <c r="B59" s="226" t="s">
        <v>3</v>
      </c>
      <c r="C59" s="10" t="s">
        <v>107</v>
      </c>
      <c r="D59" s="14" t="str">
        <v/>
      </c>
      <c r="E59" s="155"/>
      <c r="F59" s="10"/>
      <c r="G59" s="17"/>
      <c r="H59" s="10"/>
      <c r="I59" s="17"/>
      <c r="J59" s="82"/>
      <c r="K59" s="340"/>
      <c r="L59" s="344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>
      <c r="A60" s="17" t="s">
        <v>254</v>
      </c>
      <c r="B60" s="227" t="s">
        <v>3</v>
      </c>
      <c r="C60" s="17"/>
      <c r="D60" s="18" t="str">
        <v/>
      </c>
      <c r="E60" s="235"/>
      <c r="F60" s="17"/>
      <c r="G60" s="17"/>
      <c r="H60" s="10"/>
      <c r="I60" s="17"/>
      <c r="J60" s="82"/>
      <c r="K60" s="340"/>
      <c r="L60" s="344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>
      <c r="A61" s="10" t="s">
        <v>254</v>
      </c>
      <c r="B61" s="226" t="s">
        <v>3</v>
      </c>
      <c r="C61" s="10" t="s">
        <v>97</v>
      </c>
      <c r="D61" s="14"/>
      <c r="E61" s="155" t="s">
        <v>257</v>
      </c>
      <c r="F61" s="14" t="s">
        <v>352</v>
      </c>
      <c r="G61" s="17"/>
      <c r="H61" s="10"/>
      <c r="I61" s="17"/>
      <c r="J61" s="82"/>
      <c r="K61" s="341">
        <v>0.54644999999999999</v>
      </c>
      <c r="L61" s="344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32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>
      <c r="A62" s="10" t="s">
        <v>254</v>
      </c>
      <c r="B62" s="226" t="s">
        <v>3</v>
      </c>
      <c r="C62" s="10" t="s">
        <v>97</v>
      </c>
      <c r="D62" s="14"/>
      <c r="E62" s="155" t="s">
        <v>269</v>
      </c>
      <c r="F62" s="14" t="s">
        <v>356</v>
      </c>
      <c r="G62" s="17"/>
      <c r="H62" s="10"/>
      <c r="I62" s="17"/>
      <c r="J62" s="82"/>
      <c r="K62" s="340"/>
      <c r="L62" s="344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80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>
      <c r="A63" s="10" t="s">
        <v>254</v>
      </c>
      <c r="B63" s="226" t="s">
        <v>3</v>
      </c>
      <c r="C63" s="10" t="s">
        <v>97</v>
      </c>
      <c r="D63" s="14"/>
      <c r="E63" s="155"/>
      <c r="F63" s="10"/>
      <c r="G63" s="17"/>
      <c r="H63" s="10"/>
      <c r="I63" s="17"/>
      <c r="J63" s="82"/>
      <c r="K63" s="340"/>
      <c r="L63" s="344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>
      <c r="A64" s="10" t="s">
        <v>254</v>
      </c>
      <c r="B64" s="226" t="s">
        <v>3</v>
      </c>
      <c r="C64" s="10" t="s">
        <v>97</v>
      </c>
      <c r="D64" s="14"/>
      <c r="E64" s="155"/>
      <c r="F64" s="10"/>
      <c r="G64" s="17"/>
      <c r="H64" s="10"/>
      <c r="I64" s="17"/>
      <c r="J64" s="82"/>
      <c r="K64" s="340"/>
      <c r="L64" s="344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24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>
      <c r="A65" s="10" t="s">
        <v>254</v>
      </c>
      <c r="B65" s="226" t="s">
        <v>3</v>
      </c>
      <c r="C65" s="10" t="s">
        <v>97</v>
      </c>
      <c r="D65" s="14"/>
      <c r="E65" s="155"/>
      <c r="F65" s="10"/>
      <c r="G65" s="17"/>
      <c r="H65" s="10"/>
      <c r="I65" s="17"/>
      <c r="J65" s="82"/>
      <c r="K65" s="340"/>
      <c r="L65" s="344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>
      <c r="A66" s="10" t="s">
        <v>254</v>
      </c>
      <c r="B66" s="226" t="s">
        <v>3</v>
      </c>
      <c r="C66" s="10" t="s">
        <v>97</v>
      </c>
      <c r="D66" s="14"/>
      <c r="E66" s="155"/>
      <c r="F66" s="10"/>
      <c r="G66" s="17"/>
      <c r="H66" s="10"/>
      <c r="I66" s="17"/>
      <c r="J66" s="82"/>
      <c r="K66" s="340"/>
      <c r="L66" s="344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Breezway 102mm Glass Infill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>
      <c r="A67" s="10" t="s">
        <v>254</v>
      </c>
      <c r="B67" s="226" t="s">
        <v>3</v>
      </c>
      <c r="C67" s="10" t="s">
        <v>97</v>
      </c>
      <c r="D67" s="14"/>
      <c r="E67" s="155"/>
      <c r="F67" s="10"/>
      <c r="G67" s="17"/>
      <c r="H67" s="10"/>
      <c r="I67" s="17"/>
      <c r="J67" s="82"/>
      <c r="K67" s="340"/>
      <c r="L67" s="344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>
      <c r="A68" s="10" t="s">
        <v>254</v>
      </c>
      <c r="B68" s="226" t="s">
        <v>3</v>
      </c>
      <c r="C68" s="10" t="s">
        <v>97</v>
      </c>
      <c r="D68" s="14"/>
      <c r="E68" s="155"/>
      <c r="F68" s="10"/>
      <c r="G68" s="17"/>
      <c r="H68" s="10"/>
      <c r="I68" s="17"/>
      <c r="J68" s="82"/>
      <c r="K68" s="340"/>
      <c r="L68" s="344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>
      <c r="A69" s="10" t="s">
        <v>254</v>
      </c>
      <c r="B69" s="226" t="s">
        <v>3</v>
      </c>
      <c r="C69" s="10" t="s">
        <v>97</v>
      </c>
      <c r="D69" s="14"/>
      <c r="E69" s="155"/>
      <c r="F69" s="10"/>
      <c r="G69" s="17"/>
      <c r="H69" s="10"/>
      <c r="I69" s="17"/>
      <c r="J69" s="82"/>
      <c r="K69" s="340"/>
      <c r="L69" s="344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>
      <c r="A70" s="10" t="s">
        <v>254</v>
      </c>
      <c r="B70" s="226" t="s">
        <v>3</v>
      </c>
      <c r="C70" s="10"/>
      <c r="D70" s="14"/>
      <c r="E70" s="155"/>
      <c r="F70" s="10"/>
      <c r="G70" s="17"/>
      <c r="H70" s="10"/>
      <c r="I70" s="17"/>
      <c r="J70" s="82"/>
      <c r="K70" s="340"/>
      <c r="L70" s="344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>
      <c r="A71" s="10" t="s">
        <v>254</v>
      </c>
      <c r="B71" s="226" t="s">
        <v>3</v>
      </c>
      <c r="C71" s="10"/>
      <c r="D71" s="14"/>
      <c r="E71" s="155"/>
      <c r="F71" s="10"/>
      <c r="G71" s="17"/>
      <c r="H71" s="10"/>
      <c r="I71" s="17"/>
      <c r="J71" s="82"/>
      <c r="K71" s="340"/>
      <c r="L71" s="344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>
      <c r="A72" s="10" t="s">
        <v>254</v>
      </c>
      <c r="B72" s="226" t="s">
        <v>3</v>
      </c>
      <c r="C72" s="10"/>
      <c r="D72" s="14"/>
      <c r="E72" s="155"/>
      <c r="F72" s="10"/>
      <c r="G72" s="17"/>
      <c r="H72" s="10"/>
      <c r="I72" s="17"/>
      <c r="J72" s="82"/>
      <c r="K72" s="340"/>
      <c r="L72" s="344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>
      <c r="A73" s="10" t="s">
        <v>254</v>
      </c>
      <c r="B73" s="226" t="s">
        <v>3</v>
      </c>
      <c r="C73" s="10"/>
      <c r="D73" s="14"/>
      <c r="E73" s="155"/>
      <c r="F73" s="10"/>
      <c r="G73" s="17"/>
      <c r="H73" s="10"/>
      <c r="I73" s="17"/>
      <c r="J73" s="82"/>
      <c r="K73" s="340"/>
      <c r="L73" s="344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>
      <c r="A74" s="10" t="s">
        <v>254</v>
      </c>
      <c r="B74" s="226" t="s">
        <v>3</v>
      </c>
      <c r="C74" s="10"/>
      <c r="D74" s="14"/>
      <c r="E74" s="155"/>
      <c r="F74" s="10"/>
      <c r="G74" s="17"/>
      <c r="H74" s="10"/>
      <c r="I74" s="17"/>
      <c r="J74" s="82"/>
      <c r="K74" s="340"/>
      <c r="L74" s="344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>
      <c r="A75" s="10" t="s">
        <v>254</v>
      </c>
      <c r="B75" s="226" t="s">
        <v>3</v>
      </c>
      <c r="C75" s="10"/>
      <c r="D75" s="14"/>
      <c r="E75" s="155"/>
      <c r="F75" s="10"/>
      <c r="G75" s="17"/>
      <c r="H75" s="10"/>
      <c r="I75" s="17"/>
      <c r="J75" s="82"/>
      <c r="K75" s="340"/>
      <c r="L75" s="344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>
      <c r="A76" s="10" t="s">
        <v>254</v>
      </c>
      <c r="B76" s="226" t="s">
        <v>3</v>
      </c>
      <c r="C76" s="10"/>
      <c r="D76" s="14"/>
      <c r="E76" s="155"/>
      <c r="F76" s="10"/>
      <c r="G76" s="17"/>
      <c r="H76" s="10"/>
      <c r="I76" s="17"/>
      <c r="J76" s="82"/>
      <c r="K76" s="340"/>
      <c r="L76" s="344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>
      <c r="A77" s="10" t="s">
        <v>254</v>
      </c>
      <c r="B77" s="226" t="s">
        <v>3</v>
      </c>
      <c r="C77" s="10"/>
      <c r="D77" s="14"/>
      <c r="E77" s="155"/>
      <c r="F77" s="10"/>
      <c r="G77" s="17"/>
      <c r="H77" s="10"/>
      <c r="I77" s="17"/>
      <c r="J77" s="82"/>
      <c r="K77" s="340"/>
      <c r="L77" s="344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>
      <c r="A78" s="10" t="s">
        <v>254</v>
      </c>
      <c r="B78" s="226" t="s">
        <v>3</v>
      </c>
      <c r="C78" s="10"/>
      <c r="D78" s="14"/>
      <c r="E78" s="155"/>
      <c r="F78" s="10"/>
      <c r="G78" s="17"/>
      <c r="H78" s="10"/>
      <c r="I78" s="17"/>
      <c r="J78" s="82"/>
      <c r="K78" s="340"/>
      <c r="L78" s="344"/>
      <c r="M78" s="88" t="s">
        <v>117</v>
      </c>
      <c r="N78" s="10" t="s">
        <v>121</v>
      </c>
      <c r="O78" s="22" t="str">
        <f>$O$2</f>
        <v/>
      </c>
      <c r="P78" s="21" t="str">
        <f>Enginuity!$A$19</f>
        <v>P/C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>
      <c r="A79" s="10" t="s">
        <v>254</v>
      </c>
      <c r="B79" s="226" t="s">
        <v>3</v>
      </c>
      <c r="C79" s="10"/>
      <c r="D79" s="14"/>
      <c r="E79" s="155"/>
      <c r="F79" s="10"/>
      <c r="G79" s="17"/>
      <c r="H79" s="10"/>
      <c r="I79" s="17"/>
      <c r="J79" s="82"/>
      <c r="K79" s="340"/>
      <c r="L79" s="344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32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>
      <c r="A80" s="10" t="s">
        <v>254</v>
      </c>
      <c r="B80" s="226" t="s">
        <v>3</v>
      </c>
      <c r="C80" s="10"/>
      <c r="D80" s="14"/>
      <c r="E80" s="155"/>
      <c r="F80" s="10"/>
      <c r="G80" s="17"/>
      <c r="H80" s="10"/>
      <c r="I80" s="17"/>
      <c r="J80" s="82"/>
      <c r="K80" s="340"/>
      <c r="L80" s="344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80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>
      <c r="A81" s="10" t="s">
        <v>254</v>
      </c>
      <c r="B81" s="226" t="s">
        <v>3</v>
      </c>
      <c r="C81" s="10"/>
      <c r="D81" s="14"/>
      <c r="E81" s="155"/>
      <c r="F81" s="10"/>
      <c r="G81" s="17"/>
      <c r="H81" s="10"/>
      <c r="I81" s="17"/>
      <c r="J81" s="82"/>
      <c r="K81" s="340"/>
      <c r="L81" s="344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160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>
      <c r="A82" s="10" t="s">
        <v>254</v>
      </c>
      <c r="B82" s="226" t="s">
        <v>3</v>
      </c>
      <c r="C82" s="10"/>
      <c r="D82" s="14"/>
      <c r="E82" s="155"/>
      <c r="F82" s="10"/>
      <c r="G82" s="17"/>
      <c r="H82" s="10"/>
      <c r="I82" s="17"/>
      <c r="J82" s="82"/>
      <c r="K82" s="340"/>
      <c r="L82" s="344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>
      <c r="A83" s="10" t="s">
        <v>254</v>
      </c>
      <c r="B83" s="226" t="s">
        <v>3</v>
      </c>
      <c r="C83" s="10"/>
      <c r="D83" s="14"/>
      <c r="E83" s="155"/>
      <c r="F83" s="10"/>
      <c r="G83" s="17"/>
      <c r="H83" s="10"/>
      <c r="I83" s="17"/>
      <c r="J83" s="82"/>
      <c r="K83" s="340"/>
      <c r="L83" s="344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4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>
      <c r="A84" s="10" t="s">
        <v>254</v>
      </c>
      <c r="B84" s="226" t="s">
        <v>3</v>
      </c>
      <c r="C84" s="10"/>
      <c r="D84" s="14"/>
      <c r="E84" s="155"/>
      <c r="F84" s="10"/>
      <c r="G84" s="17"/>
      <c r="H84" s="10"/>
      <c r="I84" s="17"/>
      <c r="J84" s="82"/>
      <c r="K84" s="340"/>
      <c r="L84" s="344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4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>
      <c r="A85" s="10"/>
      <c r="B85" s="226"/>
      <c r="C85" s="10"/>
      <c r="D85" s="14"/>
      <c r="E85" s="155"/>
      <c r="F85" s="10"/>
      <c r="G85" s="17"/>
      <c r="H85" s="10"/>
      <c r="I85" s="17"/>
      <c r="J85" s="82"/>
      <c r="K85" s="340"/>
      <c r="L85" s="344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>
      <c r="A86" s="10"/>
      <c r="B86" s="226"/>
      <c r="C86" s="10"/>
      <c r="D86" s="14"/>
      <c r="E86" s="155"/>
      <c r="F86" s="10"/>
      <c r="G86" s="17"/>
      <c r="H86" s="10"/>
      <c r="I86" s="17"/>
      <c r="J86" s="82"/>
      <c r="K86" s="340"/>
      <c r="L86" s="344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>
      <c r="A87" s="10"/>
      <c r="B87" s="226"/>
      <c r="C87" s="10"/>
      <c r="D87" s="14"/>
      <c r="E87" s="155"/>
      <c r="F87" s="10"/>
      <c r="G87" s="17"/>
      <c r="H87" s="10"/>
      <c r="I87" s="17"/>
      <c r="J87" s="82"/>
      <c r="K87" s="340"/>
      <c r="L87" s="344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>
      <c r="A88" s="10"/>
      <c r="B88" s="226"/>
      <c r="C88" s="10"/>
      <c r="D88" s="14"/>
      <c r="E88" s="155"/>
      <c r="F88" s="10"/>
      <c r="G88" s="17"/>
      <c r="H88" s="10"/>
      <c r="I88" s="17"/>
      <c r="J88" s="82"/>
      <c r="K88" s="340"/>
      <c r="L88" s="344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>
      <c r="A89" s="10"/>
      <c r="B89" s="226"/>
      <c r="C89" s="10"/>
      <c r="D89" s="14"/>
      <c r="E89" s="155"/>
      <c r="F89" s="10"/>
      <c r="G89" s="17"/>
      <c r="H89" s="10"/>
      <c r="I89" s="17"/>
      <c r="J89" s="82"/>
      <c r="K89" s="340"/>
      <c r="L89" s="344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>
      <c r="A90" s="10"/>
      <c r="B90" s="226"/>
      <c r="C90" s="10"/>
      <c r="D90" s="14"/>
      <c r="E90" s="155"/>
      <c r="F90" s="10"/>
      <c r="G90" s="17"/>
      <c r="H90" s="10"/>
      <c r="I90" s="17"/>
      <c r="J90" s="82"/>
      <c r="K90" s="340"/>
      <c r="L90" s="344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>
      <c r="A91" s="10"/>
      <c r="B91" s="226"/>
      <c r="C91" s="10"/>
      <c r="D91" s="14"/>
      <c r="E91" s="155"/>
      <c r="F91" s="10"/>
      <c r="G91" s="17"/>
      <c r="H91" s="10"/>
      <c r="I91" s="17"/>
      <c r="J91" s="82"/>
      <c r="K91" s="340"/>
      <c r="L91" s="344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>
      <c r="A92" s="10"/>
      <c r="B92" s="226"/>
      <c r="C92" s="10"/>
      <c r="D92" s="14"/>
      <c r="E92" s="155"/>
      <c r="F92" s="10"/>
      <c r="G92" s="17"/>
      <c r="H92" s="10"/>
      <c r="I92" s="17"/>
      <c r="J92" s="82"/>
      <c r="K92" s="340"/>
      <c r="L92" s="344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>
      <c r="A93" s="10"/>
      <c r="B93" s="226"/>
      <c r="C93" s="10"/>
      <c r="D93" s="14"/>
      <c r="E93" s="155"/>
      <c r="F93" s="10"/>
      <c r="G93" s="17"/>
      <c r="H93" s="10"/>
      <c r="I93" s="17"/>
      <c r="J93" s="82"/>
      <c r="K93" s="340"/>
      <c r="L93" s="344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>
      <c r="A94" s="10"/>
      <c r="B94" s="226"/>
      <c r="C94" s="10"/>
      <c r="D94" s="14"/>
      <c r="E94" s="155"/>
      <c r="F94" s="10"/>
      <c r="G94" s="17"/>
      <c r="H94" s="10"/>
      <c r="I94" s="17"/>
      <c r="J94" s="82"/>
      <c r="K94" s="340"/>
      <c r="L94" s="344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>
      <c r="A95" s="10"/>
      <c r="B95" s="226"/>
      <c r="C95" s="10"/>
      <c r="D95" s="14"/>
      <c r="E95" s="155"/>
      <c r="F95" s="10"/>
      <c r="G95" s="17"/>
      <c r="H95" s="10"/>
      <c r="I95" s="17"/>
      <c r="J95" s="82"/>
      <c r="K95" s="340"/>
      <c r="L95" s="344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>
      <c r="A96" s="10"/>
      <c r="B96" s="226"/>
      <c r="C96" s="10"/>
      <c r="D96" s="14"/>
      <c r="E96" s="155"/>
      <c r="F96" s="10"/>
      <c r="G96" s="17"/>
      <c r="H96" s="10"/>
      <c r="I96" s="17"/>
      <c r="J96" s="82"/>
      <c r="K96" s="340"/>
      <c r="L96" s="344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>
      <c r="A97" s="10"/>
      <c r="B97" s="226"/>
      <c r="C97" s="10"/>
      <c r="D97" s="14"/>
      <c r="E97" s="155"/>
      <c r="F97" s="10"/>
      <c r="G97" s="17"/>
      <c r="H97" s="10"/>
      <c r="I97" s="17"/>
      <c r="J97" s="82"/>
      <c r="K97" s="340"/>
      <c r="L97" s="344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>
      <c r="A98" s="202"/>
      <c r="B98" s="228"/>
      <c r="C98" s="202"/>
      <c r="D98" s="203"/>
      <c r="E98" s="236"/>
      <c r="F98" s="202"/>
      <c r="G98" s="17"/>
      <c r="H98" s="202"/>
      <c r="I98" s="17"/>
      <c r="J98" s="204"/>
      <c r="K98" s="340"/>
      <c r="L98" s="344"/>
      <c r="M98" s="205"/>
      <c r="N98" s="206"/>
      <c r="O98" s="207"/>
      <c r="P98" s="208"/>
      <c r="Q98" s="204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>
      <c r="A99" s="17"/>
      <c r="B99" s="227"/>
      <c r="C99" s="17"/>
      <c r="D99" s="18"/>
      <c r="E99" s="235"/>
      <c r="F99" s="17"/>
      <c r="G99" s="17"/>
      <c r="H99" s="10"/>
      <c r="I99" s="17"/>
      <c r="J99" s="82"/>
      <c r="K99" s="340"/>
      <c r="L99" s="344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>
      <c r="A100" s="10" t="s">
        <v>254</v>
      </c>
      <c r="B100" s="226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5" t="s">
        <v>257</v>
      </c>
      <c r="F100" s="14" t="s">
        <v>352</v>
      </c>
      <c r="G100" s="17" t="s">
        <v>9</v>
      </c>
      <c r="H100" s="10"/>
      <c r="I100" s="17"/>
      <c r="J100" s="82"/>
      <c r="K100" s="341">
        <v>0.58540000000000003</v>
      </c>
      <c r="L100" s="344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8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>
      <c r="A101" s="10" t="s">
        <v>254</v>
      </c>
      <c r="B101" s="226" t="s">
        <v>12</v>
      </c>
      <c r="C101" s="10" t="s">
        <v>107</v>
      </c>
      <c r="D101" s="14" t="str">
        <v>Black Aluminium Mesh 1.6mm</v>
      </c>
      <c r="E101" s="155" t="s">
        <v>269</v>
      </c>
      <c r="F101" s="14" t="s">
        <v>356</v>
      </c>
      <c r="G101" s="17"/>
      <c r="H101" s="10"/>
      <c r="I101" s="17"/>
      <c r="J101" s="82"/>
      <c r="K101" s="340"/>
      <c r="L101" s="344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8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>
      <c r="A102" s="10" t="s">
        <v>254</v>
      </c>
      <c r="B102" s="226" t="s">
        <v>12</v>
      </c>
      <c r="C102" s="10" t="s">
        <v>107</v>
      </c>
      <c r="D102" s="14" t="str">
        <v>Black Aluminium Mesh 1.8mm</v>
      </c>
      <c r="E102" s="155"/>
      <c r="F102" s="10"/>
      <c r="G102" s="17"/>
      <c r="H102" s="10"/>
      <c r="I102" s="17"/>
      <c r="J102" s="82"/>
      <c r="K102" s="340"/>
      <c r="L102" s="344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16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>
      <c r="A103" s="10" t="s">
        <v>254</v>
      </c>
      <c r="B103" s="226" t="s">
        <v>12</v>
      </c>
      <c r="C103" s="10" t="s">
        <v>107</v>
      </c>
      <c r="D103" s="14" t="str">
        <v>Black Stainless Steel Mesh 1.0mm</v>
      </c>
      <c r="E103" s="155"/>
      <c r="F103" s="10"/>
      <c r="G103" s="17"/>
      <c r="H103" s="10"/>
      <c r="I103" s="17"/>
      <c r="J103" s="82"/>
      <c r="K103" s="340"/>
      <c r="L103" s="344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16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>
      <c r="A104" s="10" t="s">
        <v>254</v>
      </c>
      <c r="B104" s="226" t="s">
        <v>12</v>
      </c>
      <c r="C104" s="10" t="s">
        <v>107</v>
      </c>
      <c r="D104" s="14" t="str">
        <v/>
      </c>
      <c r="E104" s="155"/>
      <c r="F104" s="10"/>
      <c r="G104" s="17"/>
      <c r="H104" s="10"/>
      <c r="I104" s="17"/>
      <c r="J104" s="82"/>
      <c r="K104" s="340"/>
      <c r="L104" s="344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16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>
      <c r="A105" s="10" t="s">
        <v>254</v>
      </c>
      <c r="B105" s="226" t="s">
        <v>12</v>
      </c>
      <c r="C105" s="10" t="s">
        <v>107</v>
      </c>
      <c r="D105" s="14" t="str">
        <v/>
      </c>
      <c r="E105" s="155"/>
      <c r="F105" s="10"/>
      <c r="G105" s="17"/>
      <c r="H105" s="10"/>
      <c r="I105" s="17"/>
      <c r="J105" s="82"/>
      <c r="K105" s="340"/>
      <c r="L105" s="344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16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>
      <c r="A106" s="10" t="s">
        <v>254</v>
      </c>
      <c r="B106" s="226" t="s">
        <v>12</v>
      </c>
      <c r="C106" s="10" t="s">
        <v>107</v>
      </c>
      <c r="D106" s="14" t="str">
        <v/>
      </c>
      <c r="E106" s="155"/>
      <c r="F106" s="10"/>
      <c r="G106" s="17"/>
      <c r="H106" s="10"/>
      <c r="I106" s="17"/>
      <c r="J106" s="82"/>
      <c r="K106" s="340"/>
      <c r="L106" s="344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8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>
      <c r="A107" s="10" t="s">
        <v>254</v>
      </c>
      <c r="B107" s="226" t="s">
        <v>12</v>
      </c>
      <c r="C107" s="10" t="s">
        <v>107</v>
      </c>
      <c r="D107" s="14" t="str">
        <v/>
      </c>
      <c r="E107" s="155"/>
      <c r="F107" s="10"/>
      <c r="G107" s="17"/>
      <c r="H107" s="10"/>
      <c r="I107" s="17"/>
      <c r="J107" s="82"/>
      <c r="K107" s="340"/>
      <c r="L107" s="344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8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>
      <c r="A108" s="10" t="s">
        <v>254</v>
      </c>
      <c r="B108" s="226" t="s">
        <v>12</v>
      </c>
      <c r="C108" s="10" t="s">
        <v>107</v>
      </c>
      <c r="D108" s="14" t="str">
        <v/>
      </c>
      <c r="E108" s="155"/>
      <c r="F108" s="10"/>
      <c r="G108" s="17"/>
      <c r="H108" s="10"/>
      <c r="I108" s="17"/>
      <c r="J108" s="82"/>
      <c r="K108" s="340"/>
      <c r="L108" s="344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32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>
      <c r="A109" s="10" t="s">
        <v>254</v>
      </c>
      <c r="B109" s="226" t="s">
        <v>12</v>
      </c>
      <c r="C109" s="10" t="s">
        <v>107</v>
      </c>
      <c r="D109" s="14" t="str">
        <v/>
      </c>
      <c r="E109" s="155"/>
      <c r="F109" s="10"/>
      <c r="G109" s="17"/>
      <c r="H109" s="10"/>
      <c r="I109" s="17"/>
      <c r="J109" s="82"/>
      <c r="K109" s="340"/>
      <c r="L109" s="344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32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>
      <c r="A110" s="10" t="s">
        <v>254</v>
      </c>
      <c r="B110" s="226" t="s">
        <v>12</v>
      </c>
      <c r="C110" s="10" t="s">
        <v>107</v>
      </c>
      <c r="D110" s="14"/>
      <c r="E110" s="155"/>
      <c r="F110" s="10"/>
      <c r="G110" s="17"/>
      <c r="H110" s="10"/>
      <c r="I110" s="17"/>
      <c r="J110" s="82"/>
      <c r="K110" s="340"/>
      <c r="L110" s="344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8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>
      <c r="A111" s="10" t="s">
        <v>254</v>
      </c>
      <c r="B111" s="226" t="s">
        <v>12</v>
      </c>
      <c r="C111" s="10" t="s">
        <v>107</v>
      </c>
      <c r="D111" s="14"/>
      <c r="E111" s="155"/>
      <c r="F111" s="10"/>
      <c r="G111" s="17"/>
      <c r="H111" s="10"/>
      <c r="I111" s="17"/>
      <c r="J111" s="82"/>
      <c r="K111" s="340"/>
      <c r="L111" s="344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>
      <c r="A112" s="10" t="s">
        <v>254</v>
      </c>
      <c r="B112" s="226" t="s">
        <v>12</v>
      </c>
      <c r="C112" s="10" t="s">
        <v>107</v>
      </c>
      <c r="E112" s="237"/>
      <c r="F112" s="10"/>
      <c r="G112" s="17"/>
      <c r="H112" s="10"/>
      <c r="I112" s="17"/>
      <c r="J112" s="82"/>
      <c r="K112" s="340"/>
      <c r="L112" s="344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Breezway 102mm Glass Infill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>
      <c r="A113" s="10" t="s">
        <v>254</v>
      </c>
      <c r="B113" s="226" t="s">
        <v>12</v>
      </c>
      <c r="C113" s="10" t="s">
        <v>107</v>
      </c>
      <c r="D113" s="14"/>
      <c r="E113" s="155"/>
      <c r="F113" s="10"/>
      <c r="G113" s="17"/>
      <c r="H113" s="10"/>
      <c r="I113" s="17"/>
      <c r="J113" s="82"/>
      <c r="K113" s="340"/>
      <c r="L113" s="344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>
      <c r="A114" s="10" t="s">
        <v>254</v>
      </c>
      <c r="B114" s="226" t="s">
        <v>12</v>
      </c>
      <c r="C114" s="10" t="s">
        <v>107</v>
      </c>
      <c r="D114" s="14"/>
      <c r="E114" s="155"/>
      <c r="F114" s="10"/>
      <c r="G114" s="17"/>
      <c r="H114" s="10"/>
      <c r="I114" s="17"/>
      <c r="J114" s="82"/>
      <c r="K114" s="340"/>
      <c r="L114" s="344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>
      <c r="A115" s="10" t="s">
        <v>254</v>
      </c>
      <c r="B115" s="226" t="s">
        <v>12</v>
      </c>
      <c r="C115" s="10" t="s">
        <v>107</v>
      </c>
      <c r="D115" s="14"/>
      <c r="E115" s="155"/>
      <c r="F115" s="10"/>
      <c r="G115" s="17"/>
      <c r="H115" s="10"/>
      <c r="I115" s="17"/>
      <c r="J115" s="82"/>
      <c r="K115" s="340"/>
      <c r="L115" s="344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>
      <c r="A116" s="10" t="s">
        <v>254</v>
      </c>
      <c r="B116" s="226" t="s">
        <v>12</v>
      </c>
      <c r="C116" s="10" t="s">
        <v>107</v>
      </c>
      <c r="D116" s="14"/>
      <c r="E116" s="155"/>
      <c r="F116" s="10"/>
      <c r="G116" s="17"/>
      <c r="H116" s="10"/>
      <c r="I116" s="17"/>
      <c r="J116" s="82"/>
      <c r="K116" s="340"/>
      <c r="L116" s="344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>
      <c r="A117" s="10" t="s">
        <v>254</v>
      </c>
      <c r="B117" s="226" t="s">
        <v>12</v>
      </c>
      <c r="C117" s="10"/>
      <c r="D117" s="14"/>
      <c r="E117" s="155"/>
      <c r="F117" s="10"/>
      <c r="G117" s="17"/>
      <c r="H117" s="10"/>
      <c r="I117" s="17"/>
      <c r="J117" s="82"/>
      <c r="K117" s="340"/>
      <c r="L117" s="344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>
      <c r="A118" s="10" t="s">
        <v>254</v>
      </c>
      <c r="B118" s="226" t="s">
        <v>12</v>
      </c>
      <c r="C118" s="10" t="s">
        <v>97</v>
      </c>
      <c r="D118" s="14"/>
      <c r="E118" s="155" t="s">
        <v>257</v>
      </c>
      <c r="F118" s="14" t="s">
        <v>352</v>
      </c>
      <c r="G118" s="17" t="s">
        <v>9</v>
      </c>
      <c r="H118" s="10"/>
      <c r="I118" s="17"/>
      <c r="J118" s="82"/>
      <c r="K118" s="341">
        <v>0.58540000000000003</v>
      </c>
      <c r="L118" s="344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8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>
      <c r="A119" s="10" t="s">
        <v>254</v>
      </c>
      <c r="B119" s="226" t="s">
        <v>12</v>
      </c>
      <c r="C119" s="10" t="s">
        <v>97</v>
      </c>
      <c r="D119" s="14"/>
      <c r="E119" s="155" t="s">
        <v>269</v>
      </c>
      <c r="F119" s="14" t="s">
        <v>356</v>
      </c>
      <c r="G119" s="17"/>
      <c r="H119" s="10"/>
      <c r="I119" s="17"/>
      <c r="J119" s="82"/>
      <c r="K119" s="340"/>
      <c r="L119" s="344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8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>
      <c r="A120" s="10" t="s">
        <v>254</v>
      </c>
      <c r="B120" s="226" t="s">
        <v>12</v>
      </c>
      <c r="C120" s="10" t="s">
        <v>97</v>
      </c>
      <c r="D120" s="14"/>
      <c r="E120" s="155"/>
      <c r="F120" s="10"/>
      <c r="G120" s="17"/>
      <c r="H120" s="10"/>
      <c r="I120" s="17"/>
      <c r="J120" s="82"/>
      <c r="K120" s="340"/>
      <c r="L120" s="344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16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>
      <c r="A121" s="10" t="s">
        <v>254</v>
      </c>
      <c r="B121" s="226" t="s">
        <v>12</v>
      </c>
      <c r="C121" s="10" t="s">
        <v>97</v>
      </c>
      <c r="D121" s="14"/>
      <c r="E121" s="155"/>
      <c r="F121" s="10"/>
      <c r="G121" s="17"/>
      <c r="H121" s="10"/>
      <c r="I121" s="17"/>
      <c r="J121" s="82"/>
      <c r="K121" s="340"/>
      <c r="L121" s="344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16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18" t="s">
        <v>39</v>
      </c>
      <c r="AX121" s="141">
        <v>0.63</v>
      </c>
      <c r="AZ121" s="5"/>
      <c r="BA121" t="s">
        <v>1020</v>
      </c>
      <c r="BB121" s="5">
        <v>9</v>
      </c>
    </row>
    <row r="122" spans="1:54">
      <c r="A122" s="10" t="s">
        <v>254</v>
      </c>
      <c r="B122" s="226" t="s">
        <v>12</v>
      </c>
      <c r="C122" s="10" t="s">
        <v>97</v>
      </c>
      <c r="D122" s="14"/>
      <c r="E122" s="155"/>
      <c r="F122" s="10"/>
      <c r="G122" s="17"/>
      <c r="H122" s="10"/>
      <c r="I122" s="17"/>
      <c r="J122" s="82"/>
      <c r="K122" s="340"/>
      <c r="L122" s="344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16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>
      <c r="A123" s="10" t="s">
        <v>254</v>
      </c>
      <c r="B123" s="226" t="s">
        <v>12</v>
      </c>
      <c r="C123" s="10" t="s">
        <v>97</v>
      </c>
      <c r="D123" s="14"/>
      <c r="E123" s="155"/>
      <c r="F123" s="10"/>
      <c r="G123" s="17"/>
      <c r="H123" s="10"/>
      <c r="I123" s="17"/>
      <c r="J123" s="82"/>
      <c r="K123" s="340"/>
      <c r="L123" s="344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16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18" t="s">
        <v>400</v>
      </c>
      <c r="AX123" s="141">
        <v>16.46</v>
      </c>
      <c r="AZ123" s="5"/>
      <c r="BA123" t="s">
        <v>1334</v>
      </c>
      <c r="BB123" s="5">
        <v>4.75</v>
      </c>
    </row>
    <row r="124" spans="1:54">
      <c r="A124" s="10" t="s">
        <v>254</v>
      </c>
      <c r="B124" s="226" t="s">
        <v>12</v>
      </c>
      <c r="C124" s="10" t="s">
        <v>97</v>
      </c>
      <c r="D124" s="14"/>
      <c r="E124" s="155"/>
      <c r="F124" s="10"/>
      <c r="G124" s="17"/>
      <c r="H124" s="10"/>
      <c r="I124" s="17"/>
      <c r="J124" s="82"/>
      <c r="K124" s="340"/>
      <c r="L124" s="344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8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>
      <c r="A125" s="10" t="s">
        <v>254</v>
      </c>
      <c r="B125" s="226" t="s">
        <v>12</v>
      </c>
      <c r="C125" s="10" t="s">
        <v>97</v>
      </c>
      <c r="D125" s="14"/>
      <c r="E125" s="155"/>
      <c r="F125" s="10"/>
      <c r="G125" s="17"/>
      <c r="H125" s="10"/>
      <c r="I125" s="17"/>
      <c r="J125" s="82"/>
      <c r="K125" s="340"/>
      <c r="L125" s="344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8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>
      <c r="A126" s="10" t="s">
        <v>254</v>
      </c>
      <c r="B126" s="226" t="s">
        <v>12</v>
      </c>
      <c r="C126" s="10" t="s">
        <v>97</v>
      </c>
      <c r="D126" s="14"/>
      <c r="E126" s="155"/>
      <c r="F126" s="10"/>
      <c r="G126" s="17"/>
      <c r="H126" s="10"/>
      <c r="I126" s="17"/>
      <c r="J126" s="82"/>
      <c r="K126" s="340"/>
      <c r="L126" s="344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32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>
      <c r="A127" s="10" t="s">
        <v>254</v>
      </c>
      <c r="B127" s="226" t="s">
        <v>12</v>
      </c>
      <c r="C127" s="10" t="s">
        <v>97</v>
      </c>
      <c r="D127" s="14"/>
      <c r="E127" s="155"/>
      <c r="F127" s="10"/>
      <c r="G127" s="17"/>
      <c r="H127" s="10"/>
      <c r="I127" s="17"/>
      <c r="J127" s="82"/>
      <c r="K127" s="340"/>
      <c r="L127" s="344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32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>
      <c r="A128" s="10" t="s">
        <v>254</v>
      </c>
      <c r="B128" s="226" t="s">
        <v>12</v>
      </c>
      <c r="C128" s="10" t="s">
        <v>97</v>
      </c>
      <c r="D128" s="14"/>
      <c r="E128" s="155"/>
      <c r="F128" s="10"/>
      <c r="G128" s="17"/>
      <c r="H128" s="10"/>
      <c r="I128" s="17"/>
      <c r="J128" s="82"/>
      <c r="K128" s="340"/>
      <c r="L128" s="344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8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>
      <c r="A129" s="10" t="s">
        <v>254</v>
      </c>
      <c r="B129" s="226" t="s">
        <v>12</v>
      </c>
      <c r="C129" s="10" t="s">
        <v>97</v>
      </c>
      <c r="D129" s="14"/>
      <c r="E129" s="155"/>
      <c r="F129" s="10"/>
      <c r="G129" s="17"/>
      <c r="H129" s="10"/>
      <c r="I129" s="17"/>
      <c r="J129" s="82"/>
      <c r="K129" s="340"/>
      <c r="L129" s="344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>
      <c r="A130" s="10" t="s">
        <v>254</v>
      </c>
      <c r="B130" s="226" t="s">
        <v>12</v>
      </c>
      <c r="C130" s="10" t="s">
        <v>97</v>
      </c>
      <c r="D130" s="14"/>
      <c r="E130" s="155"/>
      <c r="F130" s="10"/>
      <c r="G130" s="17"/>
      <c r="H130" s="10"/>
      <c r="I130" s="17"/>
      <c r="J130" s="82"/>
      <c r="K130" s="340"/>
      <c r="L130" s="344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Breezway 102mm Glass Infill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>
      <c r="A131" s="10" t="s">
        <v>254</v>
      </c>
      <c r="B131" s="226" t="s">
        <v>12</v>
      </c>
      <c r="C131" s="10" t="s">
        <v>97</v>
      </c>
      <c r="D131" s="14"/>
      <c r="E131" s="155"/>
      <c r="F131" s="10"/>
      <c r="G131" s="17"/>
      <c r="H131" s="10"/>
      <c r="I131" s="17"/>
      <c r="J131" s="82"/>
      <c r="K131" s="340"/>
      <c r="L131" s="344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>
      <c r="A132" s="10" t="s">
        <v>254</v>
      </c>
      <c r="B132" s="226" t="s">
        <v>12</v>
      </c>
      <c r="C132" s="10" t="s">
        <v>97</v>
      </c>
      <c r="D132" s="14"/>
      <c r="E132" s="155"/>
      <c r="F132" s="10"/>
      <c r="G132" s="17"/>
      <c r="H132" s="10"/>
      <c r="I132" s="17"/>
      <c r="J132" s="82"/>
      <c r="K132" s="340"/>
      <c r="L132" s="344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>
      <c r="A133" s="10" t="s">
        <v>254</v>
      </c>
      <c r="B133" s="226" t="s">
        <v>12</v>
      </c>
      <c r="C133" s="10" t="s">
        <v>97</v>
      </c>
      <c r="D133" s="14"/>
      <c r="E133" s="155"/>
      <c r="F133" s="10"/>
      <c r="G133" s="17"/>
      <c r="H133" s="10"/>
      <c r="I133" s="17"/>
      <c r="J133" s="82"/>
      <c r="K133" s="340"/>
      <c r="L133" s="344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>
      <c r="A134" s="10" t="s">
        <v>254</v>
      </c>
      <c r="B134" s="226" t="s">
        <v>12</v>
      </c>
      <c r="C134" s="10" t="s">
        <v>97</v>
      </c>
      <c r="D134" s="14"/>
      <c r="E134" s="155"/>
      <c r="F134" s="10"/>
      <c r="G134" s="17"/>
      <c r="H134" s="10"/>
      <c r="I134" s="17"/>
      <c r="J134" s="82"/>
      <c r="K134" s="340"/>
      <c r="L134" s="344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>
      <c r="A135" s="10" t="s">
        <v>254</v>
      </c>
      <c r="B135" s="226" t="s">
        <v>12</v>
      </c>
      <c r="C135" s="10"/>
      <c r="D135" s="14"/>
      <c r="E135" s="155"/>
      <c r="F135" s="10"/>
      <c r="G135" s="17"/>
      <c r="H135" s="10"/>
      <c r="I135" s="17"/>
      <c r="J135" s="82"/>
      <c r="K135" s="340"/>
      <c r="L135" s="344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>
      <c r="A136" s="10" t="s">
        <v>254</v>
      </c>
      <c r="B136" s="226" t="s">
        <v>12</v>
      </c>
      <c r="C136" s="10"/>
      <c r="D136" s="14"/>
      <c r="E136" s="155"/>
      <c r="F136" s="10"/>
      <c r="G136" s="17"/>
      <c r="H136" s="10"/>
      <c r="I136" s="17"/>
      <c r="J136" s="82"/>
      <c r="K136" s="340"/>
      <c r="L136" s="344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>
      <c r="A137" s="10" t="s">
        <v>254</v>
      </c>
      <c r="B137" s="226" t="s">
        <v>12</v>
      </c>
      <c r="C137" s="10"/>
      <c r="D137" s="14"/>
      <c r="E137" s="155"/>
      <c r="F137" s="10"/>
      <c r="G137" s="17"/>
      <c r="H137" s="10"/>
      <c r="I137" s="17"/>
      <c r="J137" s="82"/>
      <c r="K137" s="340"/>
      <c r="L137" s="344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>
      <c r="A138" s="10" t="s">
        <v>254</v>
      </c>
      <c r="B138" s="226" t="s">
        <v>12</v>
      </c>
      <c r="C138" s="10"/>
      <c r="D138" s="14"/>
      <c r="E138" s="155"/>
      <c r="F138" s="10"/>
      <c r="G138" s="17"/>
      <c r="H138" s="10"/>
      <c r="I138" s="17"/>
      <c r="J138" s="82"/>
      <c r="K138" s="340"/>
      <c r="L138" s="344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>
      <c r="A139" s="10" t="s">
        <v>254</v>
      </c>
      <c r="B139" s="226" t="s">
        <v>12</v>
      </c>
      <c r="C139" s="10"/>
      <c r="D139" s="14"/>
      <c r="E139" s="155"/>
      <c r="F139" s="10"/>
      <c r="G139" s="17"/>
      <c r="H139" s="10"/>
      <c r="I139" s="17"/>
      <c r="J139" s="82"/>
      <c r="K139" s="340"/>
      <c r="L139" s="344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P/C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>
      <c r="A140" s="10" t="s">
        <v>254</v>
      </c>
      <c r="B140" s="226" t="s">
        <v>12</v>
      </c>
      <c r="C140" s="10"/>
      <c r="D140" s="14"/>
      <c r="E140" s="155"/>
      <c r="F140" s="10"/>
      <c r="G140" s="17"/>
      <c r="H140" s="10"/>
      <c r="I140" s="17"/>
      <c r="J140" s="82"/>
      <c r="K140" s="340"/>
      <c r="L140" s="344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32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>
      <c r="A141" s="10" t="s">
        <v>254</v>
      </c>
      <c r="B141" s="226" t="s">
        <v>12</v>
      </c>
      <c r="C141" s="10"/>
      <c r="D141" s="14"/>
      <c r="E141" s="155"/>
      <c r="F141" s="10"/>
      <c r="G141" s="17"/>
      <c r="H141" s="10"/>
      <c r="I141" s="17"/>
      <c r="J141" s="82"/>
      <c r="K141" s="340"/>
      <c r="L141" s="344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80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>
      <c r="A142" s="10" t="s">
        <v>254</v>
      </c>
      <c r="B142" s="226" t="s">
        <v>12</v>
      </c>
      <c r="C142" s="10"/>
      <c r="D142" s="14"/>
      <c r="E142" s="155"/>
      <c r="F142" s="10"/>
      <c r="G142" s="17"/>
      <c r="H142" s="10"/>
      <c r="I142" s="17"/>
      <c r="J142" s="82"/>
      <c r="K142" s="340"/>
      <c r="L142" s="344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160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>
      <c r="A143" s="10" t="s">
        <v>254</v>
      </c>
      <c r="B143" s="226" t="s">
        <v>12</v>
      </c>
      <c r="C143" s="10"/>
      <c r="D143" s="14"/>
      <c r="E143" s="155"/>
      <c r="F143" s="10"/>
      <c r="G143" s="17"/>
      <c r="H143" s="10"/>
      <c r="I143" s="17"/>
      <c r="J143" s="82"/>
      <c r="K143" s="340"/>
      <c r="L143" s="344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>
      <c r="A144" s="10" t="s">
        <v>254</v>
      </c>
      <c r="B144" s="226" t="s">
        <v>12</v>
      </c>
      <c r="C144" s="10"/>
      <c r="D144" s="14"/>
      <c r="E144" s="155"/>
      <c r="F144" s="10"/>
      <c r="G144" s="17"/>
      <c r="H144" s="10"/>
      <c r="I144" s="17"/>
      <c r="J144" s="82"/>
      <c r="K144" s="340"/>
      <c r="L144" s="344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>
      <c r="A145" s="10" t="s">
        <v>254</v>
      </c>
      <c r="B145" s="226" t="s">
        <v>12</v>
      </c>
      <c r="C145" s="10"/>
      <c r="D145" s="14"/>
      <c r="E145" s="155"/>
      <c r="F145" s="10"/>
      <c r="G145" s="17"/>
      <c r="H145" s="10"/>
      <c r="I145" s="17"/>
      <c r="J145" s="82"/>
      <c r="K145" s="340"/>
      <c r="L145" s="344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>
      <c r="A146" s="10" t="s">
        <v>254</v>
      </c>
      <c r="B146" s="226" t="s">
        <v>12</v>
      </c>
      <c r="C146" s="10"/>
      <c r="D146" s="14"/>
      <c r="E146" s="155"/>
      <c r="F146" s="10"/>
      <c r="G146" s="17"/>
      <c r="H146" s="10"/>
      <c r="I146" s="17"/>
      <c r="J146" s="82"/>
      <c r="K146" s="340"/>
      <c r="L146" s="344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4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>
      <c r="A147" s="10" t="s">
        <v>254</v>
      </c>
      <c r="B147" s="226" t="s">
        <v>12</v>
      </c>
      <c r="C147" s="10"/>
      <c r="D147" s="14"/>
      <c r="E147" s="155"/>
      <c r="F147" s="10"/>
      <c r="G147" s="17"/>
      <c r="H147" s="10"/>
      <c r="I147" s="17"/>
      <c r="J147" s="82"/>
      <c r="K147" s="340"/>
      <c r="L147" s="344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16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>
      <c r="A148" s="17" t="s">
        <v>254</v>
      </c>
      <c r="B148" s="227" t="s">
        <v>12</v>
      </c>
      <c r="C148" s="17"/>
      <c r="D148" s="18"/>
      <c r="E148" s="235"/>
      <c r="F148" s="17"/>
      <c r="G148" s="17"/>
      <c r="H148" s="10"/>
      <c r="I148" s="17"/>
      <c r="J148" s="82"/>
      <c r="K148" s="340"/>
      <c r="L148" s="344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8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>
      <c r="A149" s="10" t="s">
        <v>254</v>
      </c>
      <c r="B149" s="226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5" t="s">
        <v>257</v>
      </c>
      <c r="F149" s="14" t="s">
        <v>352</v>
      </c>
      <c r="G149" s="17" t="s">
        <v>9</v>
      </c>
      <c r="H149" s="10"/>
      <c r="I149" s="17"/>
      <c r="J149" s="82"/>
      <c r="K149" s="341">
        <v>0.59596199999999999</v>
      </c>
      <c r="L149" s="344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8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>
      <c r="A150" s="10" t="s">
        <v>254</v>
      </c>
      <c r="B150" s="226" t="s">
        <v>11</v>
      </c>
      <c r="C150" s="10" t="s">
        <v>107</v>
      </c>
      <c r="D150" s="14" t="str">
        <v>Black Aluminium Mesh 1.6mm</v>
      </c>
      <c r="E150" s="155" t="s">
        <v>269</v>
      </c>
      <c r="F150" s="14" t="s">
        <v>356</v>
      </c>
      <c r="G150" s="17"/>
      <c r="H150" s="10"/>
      <c r="I150" s="17"/>
      <c r="J150" s="82"/>
      <c r="K150" s="340"/>
      <c r="L150" s="344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8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>
      <c r="A151" s="10" t="s">
        <v>254</v>
      </c>
      <c r="B151" s="226" t="s">
        <v>11</v>
      </c>
      <c r="C151" s="10" t="s">
        <v>107</v>
      </c>
      <c r="D151" s="14" t="str">
        <v>Black Aluminium Mesh 1.8mm</v>
      </c>
      <c r="E151" s="155"/>
      <c r="F151" s="10"/>
      <c r="G151" s="17"/>
      <c r="H151" s="10"/>
      <c r="I151" s="17"/>
      <c r="J151" s="82"/>
      <c r="K151" s="340"/>
      <c r="L151" s="344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16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>
      <c r="A152" s="10" t="s">
        <v>254</v>
      </c>
      <c r="B152" s="226" t="s">
        <v>11</v>
      </c>
      <c r="C152" s="10" t="s">
        <v>107</v>
      </c>
      <c r="D152" s="14" t="str">
        <v>Black Stainless Steel Mesh 1.0mm</v>
      </c>
      <c r="E152" s="155"/>
      <c r="F152" s="10"/>
      <c r="G152" s="17"/>
      <c r="H152" s="10"/>
      <c r="I152" s="17"/>
      <c r="J152" s="82"/>
      <c r="K152" s="340"/>
      <c r="L152" s="344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16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>
      <c r="A153" s="10" t="s">
        <v>254</v>
      </c>
      <c r="B153" s="226" t="s">
        <v>11</v>
      </c>
      <c r="C153" s="10" t="s">
        <v>107</v>
      </c>
      <c r="D153" s="14" t="str">
        <v/>
      </c>
      <c r="E153" s="155"/>
      <c r="F153" s="10"/>
      <c r="G153" s="17"/>
      <c r="H153" s="10"/>
      <c r="I153" s="17"/>
      <c r="J153" s="82"/>
      <c r="K153" s="340"/>
      <c r="L153" s="344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16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>
      <c r="A154" s="10" t="s">
        <v>254</v>
      </c>
      <c r="B154" s="226" t="s">
        <v>11</v>
      </c>
      <c r="C154" s="10" t="s">
        <v>107</v>
      </c>
      <c r="D154" s="14" t="str">
        <v/>
      </c>
      <c r="E154" s="155"/>
      <c r="F154" s="10"/>
      <c r="G154" s="17"/>
      <c r="H154" s="10"/>
      <c r="I154" s="17"/>
      <c r="J154" s="82"/>
      <c r="K154" s="340"/>
      <c r="L154" s="344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16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>
      <c r="A155" s="10" t="s">
        <v>254</v>
      </c>
      <c r="B155" s="226" t="s">
        <v>11</v>
      </c>
      <c r="C155" s="10" t="s">
        <v>107</v>
      </c>
      <c r="D155" s="14" t="str">
        <v/>
      </c>
      <c r="E155" s="155"/>
      <c r="F155" s="10"/>
      <c r="G155" s="17"/>
      <c r="H155" s="10"/>
      <c r="I155" s="17"/>
      <c r="J155" s="82"/>
      <c r="K155" s="340"/>
      <c r="L155" s="344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8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>
      <c r="A156" s="10" t="s">
        <v>254</v>
      </c>
      <c r="B156" s="226" t="s">
        <v>11</v>
      </c>
      <c r="C156" s="10" t="s">
        <v>107</v>
      </c>
      <c r="D156" s="14" t="str">
        <v/>
      </c>
      <c r="E156" s="155"/>
      <c r="F156" s="10"/>
      <c r="G156" s="17"/>
      <c r="H156" s="10"/>
      <c r="I156" s="17"/>
      <c r="J156" s="82"/>
      <c r="K156" s="340"/>
      <c r="L156" s="344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8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>
      <c r="A157" s="10" t="s">
        <v>254</v>
      </c>
      <c r="B157" s="226" t="s">
        <v>11</v>
      </c>
      <c r="C157" s="10" t="s">
        <v>107</v>
      </c>
      <c r="D157" s="14" t="str">
        <v/>
      </c>
      <c r="E157" s="155"/>
      <c r="F157" s="10"/>
      <c r="G157" s="17"/>
      <c r="H157" s="10"/>
      <c r="I157" s="17"/>
      <c r="J157" s="82"/>
      <c r="K157" s="340"/>
      <c r="L157" s="344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32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>
      <c r="A158" s="10" t="s">
        <v>254</v>
      </c>
      <c r="B158" s="226" t="s">
        <v>11</v>
      </c>
      <c r="C158" s="10" t="s">
        <v>107</v>
      </c>
      <c r="D158" s="14" t="str">
        <v/>
      </c>
      <c r="E158" s="155"/>
      <c r="F158" s="10"/>
      <c r="G158" s="17"/>
      <c r="H158" s="10"/>
      <c r="I158" s="17"/>
      <c r="J158" s="82"/>
      <c r="K158" s="340"/>
      <c r="L158" s="344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32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>
      <c r="A159" s="10" t="s">
        <v>254</v>
      </c>
      <c r="B159" s="226" t="s">
        <v>11</v>
      </c>
      <c r="C159" s="10" t="s">
        <v>107</v>
      </c>
      <c r="D159" s="14"/>
      <c r="E159" s="155"/>
      <c r="F159" s="10"/>
      <c r="G159" s="17"/>
      <c r="H159" s="10"/>
      <c r="I159" s="17"/>
      <c r="J159" s="82"/>
      <c r="K159" s="340"/>
      <c r="L159" s="344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8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>
      <c r="A160" s="10" t="s">
        <v>254</v>
      </c>
      <c r="B160" s="226" t="s">
        <v>11</v>
      </c>
      <c r="C160" s="10" t="s">
        <v>107</v>
      </c>
      <c r="D160" s="14"/>
      <c r="E160" s="155"/>
      <c r="F160" s="10"/>
      <c r="G160" s="17"/>
      <c r="H160" s="10"/>
      <c r="I160" s="17"/>
      <c r="J160" s="82"/>
      <c r="K160" s="340"/>
      <c r="L160" s="344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>
      <c r="A161" s="10" t="s">
        <v>254</v>
      </c>
      <c r="B161" s="226" t="s">
        <v>11</v>
      </c>
      <c r="C161" s="10" t="s">
        <v>107</v>
      </c>
      <c r="E161" s="237"/>
      <c r="F161" s="10"/>
      <c r="G161" s="17"/>
      <c r="H161" s="10"/>
      <c r="I161" s="17"/>
      <c r="J161" s="82"/>
      <c r="K161" s="340"/>
      <c r="L161" s="344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Breezway 102mm Glass Infill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>
      <c r="A162" s="10" t="s">
        <v>254</v>
      </c>
      <c r="B162" s="226" t="s">
        <v>11</v>
      </c>
      <c r="C162" s="10" t="s">
        <v>107</v>
      </c>
      <c r="D162" s="14"/>
      <c r="E162" s="155"/>
      <c r="F162" s="10"/>
      <c r="G162" s="17"/>
      <c r="H162" s="10"/>
      <c r="I162" s="17"/>
      <c r="J162" s="82"/>
      <c r="K162" s="340"/>
      <c r="L162" s="344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>
      <c r="A163" s="10" t="s">
        <v>254</v>
      </c>
      <c r="B163" s="226" t="s">
        <v>11</v>
      </c>
      <c r="C163" s="10" t="s">
        <v>107</v>
      </c>
      <c r="D163" s="14"/>
      <c r="E163" s="155"/>
      <c r="F163" s="10"/>
      <c r="G163" s="17"/>
      <c r="H163" s="10"/>
      <c r="I163" s="17"/>
      <c r="J163" s="82"/>
      <c r="K163" s="340"/>
      <c r="L163" s="344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>
      <c r="A164" s="10" t="s">
        <v>254</v>
      </c>
      <c r="B164" s="226" t="s">
        <v>11</v>
      </c>
      <c r="C164" s="10" t="s">
        <v>107</v>
      </c>
      <c r="D164" s="14"/>
      <c r="E164" s="155"/>
      <c r="F164" s="10"/>
      <c r="G164" s="17"/>
      <c r="H164" s="10"/>
      <c r="I164" s="17"/>
      <c r="J164" s="82"/>
      <c r="K164" s="340"/>
      <c r="L164" s="344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>
      <c r="A165" s="10" t="s">
        <v>254</v>
      </c>
      <c r="B165" s="226" t="s">
        <v>11</v>
      </c>
      <c r="C165" s="10" t="s">
        <v>107</v>
      </c>
      <c r="D165" s="14"/>
      <c r="E165" s="155"/>
      <c r="F165" s="10"/>
      <c r="G165" s="17"/>
      <c r="H165" s="10"/>
      <c r="I165" s="17"/>
      <c r="J165" s="82"/>
      <c r="K165" s="340"/>
      <c r="L165" s="344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>
      <c r="A166" s="10" t="s">
        <v>254</v>
      </c>
      <c r="B166" s="226" t="s">
        <v>11</v>
      </c>
      <c r="C166" s="10"/>
      <c r="D166" s="14"/>
      <c r="E166" s="155"/>
      <c r="F166" s="10"/>
      <c r="G166" s="17"/>
      <c r="H166" s="10"/>
      <c r="I166" s="17"/>
      <c r="J166" s="82"/>
      <c r="K166" s="340"/>
      <c r="L166" s="344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>
      <c r="A167" s="10" t="s">
        <v>254</v>
      </c>
      <c r="B167" s="226" t="s">
        <v>11</v>
      </c>
      <c r="C167" s="10" t="s">
        <v>97</v>
      </c>
      <c r="D167" s="14"/>
      <c r="E167" s="155" t="s">
        <v>257</v>
      </c>
      <c r="F167" s="14" t="s">
        <v>352</v>
      </c>
      <c r="G167" s="17" t="s">
        <v>9</v>
      </c>
      <c r="H167" s="10"/>
      <c r="I167" s="17"/>
      <c r="J167" s="82"/>
      <c r="K167" s="341">
        <v>0.59596199999999999</v>
      </c>
      <c r="L167" s="344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8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>
      <c r="A168" s="10" t="s">
        <v>254</v>
      </c>
      <c r="B168" s="226" t="s">
        <v>11</v>
      </c>
      <c r="C168" s="10" t="s">
        <v>97</v>
      </c>
      <c r="D168" s="14"/>
      <c r="E168" s="155" t="s">
        <v>269</v>
      </c>
      <c r="F168" s="14" t="s">
        <v>356</v>
      </c>
      <c r="G168" s="17"/>
      <c r="H168" s="10"/>
      <c r="I168" s="17"/>
      <c r="J168" s="82"/>
      <c r="K168" s="340"/>
      <c r="L168" s="344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8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18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>
      <c r="A169" s="10" t="s">
        <v>254</v>
      </c>
      <c r="B169" s="226" t="s">
        <v>11</v>
      </c>
      <c r="C169" s="10" t="s">
        <v>97</v>
      </c>
      <c r="D169" s="14"/>
      <c r="E169" s="155"/>
      <c r="F169" s="10"/>
      <c r="G169" s="17"/>
      <c r="H169" s="10"/>
      <c r="I169" s="17"/>
      <c r="J169" s="82"/>
      <c r="K169" s="340"/>
      <c r="L169" s="344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16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18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>
      <c r="A170" s="10" t="s">
        <v>254</v>
      </c>
      <c r="B170" s="226" t="s">
        <v>11</v>
      </c>
      <c r="C170" s="10" t="s">
        <v>97</v>
      </c>
      <c r="D170" s="14"/>
      <c r="E170" s="155"/>
      <c r="F170" s="10"/>
      <c r="G170" s="17"/>
      <c r="H170" s="10"/>
      <c r="I170" s="17"/>
      <c r="J170" s="82"/>
      <c r="K170" s="340"/>
      <c r="L170" s="344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16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18" t="s">
        <v>76</v>
      </c>
      <c r="AX170" s="5">
        <v>9.6</v>
      </c>
      <c r="AZ170" s="5"/>
      <c r="BA170" t="s">
        <v>1060</v>
      </c>
      <c r="BB170" s="5">
        <v>25</v>
      </c>
    </row>
    <row r="171" spans="1:54">
      <c r="A171" s="10" t="s">
        <v>254</v>
      </c>
      <c r="B171" s="226" t="s">
        <v>11</v>
      </c>
      <c r="C171" s="10" t="s">
        <v>97</v>
      </c>
      <c r="D171" s="14"/>
      <c r="E171" s="155"/>
      <c r="F171" s="10"/>
      <c r="G171" s="17"/>
      <c r="H171" s="10"/>
      <c r="I171" s="17"/>
      <c r="J171" s="82"/>
      <c r="K171" s="340"/>
      <c r="L171" s="344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16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18" t="s">
        <v>77</v>
      </c>
      <c r="AX171" s="5">
        <v>13.6</v>
      </c>
      <c r="AZ171" s="5"/>
      <c r="BA171" t="s">
        <v>1061</v>
      </c>
      <c r="BB171" s="5">
        <v>26</v>
      </c>
    </row>
    <row r="172" spans="1:54">
      <c r="A172" s="10" t="s">
        <v>254</v>
      </c>
      <c r="B172" s="226" t="s">
        <v>11</v>
      </c>
      <c r="C172" s="10" t="s">
        <v>97</v>
      </c>
      <c r="D172" s="14"/>
      <c r="E172" s="155"/>
      <c r="F172" s="10"/>
      <c r="G172" s="17"/>
      <c r="H172" s="10"/>
      <c r="I172" s="17"/>
      <c r="J172" s="82"/>
      <c r="K172" s="340"/>
      <c r="L172" s="344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16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18" t="s">
        <v>1354</v>
      </c>
      <c r="AX172" s="5"/>
      <c r="AZ172" s="5"/>
      <c r="BA172" t="s">
        <v>1062</v>
      </c>
      <c r="BB172" s="5">
        <v>35</v>
      </c>
    </row>
    <row r="173" spans="1:54">
      <c r="A173" s="10" t="s">
        <v>254</v>
      </c>
      <c r="B173" s="226" t="s">
        <v>11</v>
      </c>
      <c r="C173" s="10" t="s">
        <v>97</v>
      </c>
      <c r="D173" s="14"/>
      <c r="E173" s="155"/>
      <c r="F173" s="10"/>
      <c r="G173" s="17"/>
      <c r="H173" s="10"/>
      <c r="I173" s="17"/>
      <c r="J173" s="82"/>
      <c r="K173" s="340"/>
      <c r="L173" s="344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8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18" t="s">
        <v>1355</v>
      </c>
      <c r="AX173" s="5"/>
      <c r="AZ173" s="5"/>
      <c r="BA173" t="s">
        <v>1063</v>
      </c>
      <c r="BB173" s="5">
        <v>36</v>
      </c>
    </row>
    <row r="174" spans="1:54">
      <c r="A174" s="10" t="s">
        <v>254</v>
      </c>
      <c r="B174" s="226" t="s">
        <v>11</v>
      </c>
      <c r="C174" s="10" t="s">
        <v>97</v>
      </c>
      <c r="D174" s="14"/>
      <c r="E174" s="155"/>
      <c r="F174" s="10"/>
      <c r="G174" s="17"/>
      <c r="H174" s="10"/>
      <c r="I174" s="17"/>
      <c r="J174" s="82"/>
      <c r="K174" s="340"/>
      <c r="L174" s="344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8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18" t="s">
        <v>1354</v>
      </c>
      <c r="AX174" s="5"/>
      <c r="AZ174" s="5"/>
      <c r="BA174" t="s">
        <v>1349</v>
      </c>
      <c r="BB174" s="5">
        <v>12</v>
      </c>
    </row>
    <row r="175" spans="1:54">
      <c r="A175" s="10" t="s">
        <v>254</v>
      </c>
      <c r="B175" s="226" t="s">
        <v>11</v>
      </c>
      <c r="C175" s="10" t="s">
        <v>97</v>
      </c>
      <c r="D175" s="14"/>
      <c r="E175" s="155"/>
      <c r="F175" s="10"/>
      <c r="G175" s="17"/>
      <c r="H175" s="10"/>
      <c r="I175" s="17"/>
      <c r="J175" s="82"/>
      <c r="K175" s="340"/>
      <c r="L175" s="344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32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18" t="s">
        <v>1355</v>
      </c>
      <c r="AX175" s="5"/>
      <c r="AZ175" s="5"/>
      <c r="BA175" t="s">
        <v>1064</v>
      </c>
      <c r="BB175" s="5">
        <v>3.5</v>
      </c>
    </row>
    <row r="176" spans="1:54">
      <c r="A176" s="10" t="s">
        <v>254</v>
      </c>
      <c r="B176" s="226" t="s">
        <v>11</v>
      </c>
      <c r="C176" s="10" t="s">
        <v>97</v>
      </c>
      <c r="D176" s="14"/>
      <c r="E176" s="155"/>
      <c r="F176" s="10"/>
      <c r="G176" s="17"/>
      <c r="H176" s="10"/>
      <c r="I176" s="17"/>
      <c r="J176" s="82"/>
      <c r="K176" s="340"/>
      <c r="L176" s="344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32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18" t="s">
        <v>203</v>
      </c>
      <c r="AX176" s="5">
        <v>5.28</v>
      </c>
      <c r="AZ176" s="5"/>
      <c r="BA176" t="s">
        <v>1034</v>
      </c>
      <c r="BB176" s="5">
        <v>4.3</v>
      </c>
    </row>
    <row r="177" spans="1:54">
      <c r="A177" s="10" t="s">
        <v>254</v>
      </c>
      <c r="B177" s="226" t="s">
        <v>11</v>
      </c>
      <c r="C177" s="10" t="s">
        <v>97</v>
      </c>
      <c r="D177" s="14"/>
      <c r="E177" s="155"/>
      <c r="F177" s="10"/>
      <c r="G177" s="17"/>
      <c r="H177" s="10"/>
      <c r="I177" s="17"/>
      <c r="J177" s="82"/>
      <c r="K177" s="340"/>
      <c r="L177" s="344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8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18" t="s">
        <v>202</v>
      </c>
      <c r="AX177" s="5">
        <v>1.6</v>
      </c>
      <c r="AZ177" s="5"/>
      <c r="BA177" t="s">
        <v>1065</v>
      </c>
      <c r="BB177" s="5">
        <v>4.3</v>
      </c>
    </row>
    <row r="178" spans="1:54">
      <c r="A178" s="10" t="s">
        <v>254</v>
      </c>
      <c r="B178" s="226" t="s">
        <v>11</v>
      </c>
      <c r="C178" s="10" t="s">
        <v>97</v>
      </c>
      <c r="D178" s="14"/>
      <c r="E178" s="155"/>
      <c r="F178" s="10"/>
      <c r="G178" s="17"/>
      <c r="H178" s="10"/>
      <c r="I178" s="17"/>
      <c r="J178" s="82"/>
      <c r="K178" s="340"/>
      <c r="L178" s="344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18" t="s">
        <v>931</v>
      </c>
      <c r="AX178" s="5">
        <v>5.9</v>
      </c>
      <c r="AZ178" s="5"/>
      <c r="BA178" t="s">
        <v>1035</v>
      </c>
      <c r="BB178" s="5">
        <v>5.2</v>
      </c>
    </row>
    <row r="179" spans="1:54">
      <c r="A179" s="10" t="s">
        <v>254</v>
      </c>
      <c r="B179" s="226" t="s">
        <v>11</v>
      </c>
      <c r="C179" s="10" t="s">
        <v>97</v>
      </c>
      <c r="D179" s="14"/>
      <c r="E179" s="155"/>
      <c r="F179" s="10"/>
      <c r="G179" s="17"/>
      <c r="H179" s="10"/>
      <c r="I179" s="17"/>
      <c r="J179" s="82"/>
      <c r="K179" s="340"/>
      <c r="L179" s="344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>
      <c r="A180" s="10" t="s">
        <v>254</v>
      </c>
      <c r="B180" s="226" t="s">
        <v>11</v>
      </c>
      <c r="C180" s="10" t="s">
        <v>97</v>
      </c>
      <c r="D180" s="14"/>
      <c r="E180" s="155"/>
      <c r="F180" s="10"/>
      <c r="G180" s="17"/>
      <c r="H180" s="10"/>
      <c r="I180" s="17"/>
      <c r="J180" s="82"/>
      <c r="K180" s="340"/>
      <c r="L180" s="344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Breezway 102mm Glass Infill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>
      <c r="A181" s="10" t="s">
        <v>254</v>
      </c>
      <c r="B181" s="226" t="s">
        <v>11</v>
      </c>
      <c r="C181" s="10" t="s">
        <v>97</v>
      </c>
      <c r="D181" s="14"/>
      <c r="E181" s="155"/>
      <c r="F181" s="10"/>
      <c r="G181" s="17"/>
      <c r="H181" s="10"/>
      <c r="I181" s="17"/>
      <c r="J181" s="82"/>
      <c r="K181" s="340"/>
      <c r="L181" s="344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>
      <c r="A182" s="10" t="s">
        <v>254</v>
      </c>
      <c r="B182" s="226" t="s">
        <v>11</v>
      </c>
      <c r="C182" s="10" t="s">
        <v>97</v>
      </c>
      <c r="D182" s="14"/>
      <c r="E182" s="155"/>
      <c r="F182" s="10"/>
      <c r="G182" s="17"/>
      <c r="H182" s="10"/>
      <c r="I182" s="17"/>
      <c r="J182" s="82"/>
      <c r="K182" s="340"/>
      <c r="L182" s="344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>
      <c r="A183" s="10" t="s">
        <v>254</v>
      </c>
      <c r="B183" s="226" t="s">
        <v>11</v>
      </c>
      <c r="C183" s="10" t="s">
        <v>97</v>
      </c>
      <c r="D183" s="14"/>
      <c r="E183" s="155"/>
      <c r="F183" s="10"/>
      <c r="G183" s="17"/>
      <c r="H183" s="10"/>
      <c r="I183" s="17"/>
      <c r="J183" s="82"/>
      <c r="K183" s="340"/>
      <c r="L183" s="344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>
      <c r="A184" s="10" t="s">
        <v>254</v>
      </c>
      <c r="B184" s="226" t="s">
        <v>11</v>
      </c>
      <c r="C184" s="10"/>
      <c r="D184" s="14"/>
      <c r="E184" s="155"/>
      <c r="F184" s="10"/>
      <c r="G184" s="17"/>
      <c r="H184" s="10"/>
      <c r="I184" s="17"/>
      <c r="J184" s="82"/>
      <c r="K184" s="340"/>
      <c r="L184" s="344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>
      <c r="A185" s="10" t="s">
        <v>254</v>
      </c>
      <c r="B185" s="226" t="s">
        <v>11</v>
      </c>
      <c r="C185" s="10"/>
      <c r="D185" s="14"/>
      <c r="E185" s="155"/>
      <c r="F185" s="10"/>
      <c r="G185" s="17"/>
      <c r="H185" s="10"/>
      <c r="I185" s="17"/>
      <c r="J185" s="82"/>
      <c r="K185" s="340"/>
      <c r="L185" s="344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>
      <c r="A186" s="10" t="s">
        <v>254</v>
      </c>
      <c r="B186" s="226" t="s">
        <v>11</v>
      </c>
      <c r="C186" s="10"/>
      <c r="D186" s="14"/>
      <c r="E186" s="155"/>
      <c r="F186" s="10"/>
      <c r="G186" s="17"/>
      <c r="H186" s="10"/>
      <c r="I186" s="17"/>
      <c r="J186" s="82"/>
      <c r="K186" s="340"/>
      <c r="L186" s="344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>
      <c r="A187" s="10" t="s">
        <v>254</v>
      </c>
      <c r="B187" s="226" t="s">
        <v>11</v>
      </c>
      <c r="C187" s="10"/>
      <c r="D187" s="14"/>
      <c r="E187" s="155"/>
      <c r="F187" s="10"/>
      <c r="G187" s="17"/>
      <c r="H187" s="10"/>
      <c r="I187" s="17"/>
      <c r="J187" s="82"/>
      <c r="K187" s="340"/>
      <c r="L187" s="344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>
      <c r="A188" s="10" t="s">
        <v>254</v>
      </c>
      <c r="B188" s="226" t="s">
        <v>11</v>
      </c>
      <c r="C188" s="10"/>
      <c r="D188" s="14"/>
      <c r="E188" s="155"/>
      <c r="F188" s="10"/>
      <c r="G188" s="17"/>
      <c r="H188" s="10"/>
      <c r="I188" s="17"/>
      <c r="J188" s="82"/>
      <c r="K188" s="340"/>
      <c r="L188" s="344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P/C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>
      <c r="A189" s="10" t="s">
        <v>254</v>
      </c>
      <c r="B189" s="226" t="s">
        <v>11</v>
      </c>
      <c r="C189" s="10"/>
      <c r="D189" s="14"/>
      <c r="E189" s="155"/>
      <c r="F189" s="10"/>
      <c r="G189" s="17"/>
      <c r="H189" s="10"/>
      <c r="I189" s="17"/>
      <c r="J189" s="82"/>
      <c r="K189" s="340"/>
      <c r="L189" s="344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32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>
      <c r="A190" s="10" t="s">
        <v>254</v>
      </c>
      <c r="B190" s="226" t="s">
        <v>11</v>
      </c>
      <c r="C190" s="10"/>
      <c r="D190" s="14"/>
      <c r="E190" s="155"/>
      <c r="F190" s="10"/>
      <c r="G190" s="17"/>
      <c r="H190" s="10"/>
      <c r="I190" s="17"/>
      <c r="J190" s="82"/>
      <c r="K190" s="340"/>
      <c r="L190" s="344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80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>
      <c r="A191" s="10" t="s">
        <v>254</v>
      </c>
      <c r="B191" s="226" t="s">
        <v>11</v>
      </c>
      <c r="C191" s="10"/>
      <c r="D191" s="14"/>
      <c r="E191" s="155"/>
      <c r="F191" s="10"/>
      <c r="G191" s="17"/>
      <c r="H191" s="10"/>
      <c r="I191" s="17"/>
      <c r="J191" s="82"/>
      <c r="K191" s="340"/>
      <c r="L191" s="344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160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>
      <c r="A192" s="10" t="s">
        <v>254</v>
      </c>
      <c r="B192" s="226" t="s">
        <v>11</v>
      </c>
      <c r="C192" s="10"/>
      <c r="D192" s="14"/>
      <c r="E192" s="155"/>
      <c r="F192" s="10"/>
      <c r="G192" s="17"/>
      <c r="H192" s="10"/>
      <c r="I192" s="17"/>
      <c r="J192" s="82"/>
      <c r="K192" s="340"/>
      <c r="L192" s="344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>
      <c r="A193" s="10" t="s">
        <v>254</v>
      </c>
      <c r="B193" s="226" t="s">
        <v>11</v>
      </c>
      <c r="C193" s="10"/>
      <c r="D193" s="14"/>
      <c r="E193" s="155"/>
      <c r="F193" s="10"/>
      <c r="G193" s="17"/>
      <c r="H193" s="10"/>
      <c r="I193" s="17"/>
      <c r="J193" s="82"/>
      <c r="K193" s="340"/>
      <c r="L193" s="344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>
      <c r="A194" s="10" t="s">
        <v>254</v>
      </c>
      <c r="B194" s="226" t="s">
        <v>11</v>
      </c>
      <c r="C194" s="10"/>
      <c r="D194" s="14"/>
      <c r="E194" s="155"/>
      <c r="F194" s="10"/>
      <c r="G194" s="17"/>
      <c r="H194" s="10"/>
      <c r="I194" s="17"/>
      <c r="J194" s="82"/>
      <c r="K194" s="340"/>
      <c r="L194" s="344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>
      <c r="A195" s="10" t="s">
        <v>254</v>
      </c>
      <c r="B195" s="226" t="s">
        <v>11</v>
      </c>
      <c r="C195" s="10"/>
      <c r="D195" s="14"/>
      <c r="E195" s="155"/>
      <c r="F195" s="10"/>
      <c r="G195" s="17"/>
      <c r="H195" s="10"/>
      <c r="I195" s="17"/>
      <c r="J195" s="82"/>
      <c r="K195" s="340"/>
      <c r="L195" s="344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4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>
      <c r="A196" s="10" t="s">
        <v>254</v>
      </c>
      <c r="B196" s="226" t="s">
        <v>11</v>
      </c>
      <c r="C196" s="10"/>
      <c r="D196" s="14"/>
      <c r="E196" s="155"/>
      <c r="F196" s="10"/>
      <c r="G196" s="17"/>
      <c r="H196" s="10"/>
      <c r="I196" s="17"/>
      <c r="J196" s="82"/>
      <c r="K196" s="340"/>
      <c r="L196" s="344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16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>
      <c r="A197" s="17" t="s">
        <v>254</v>
      </c>
      <c r="B197" s="227" t="s">
        <v>11</v>
      </c>
      <c r="C197" s="17"/>
      <c r="D197" s="18"/>
      <c r="E197" s="235"/>
      <c r="F197" s="17"/>
      <c r="G197" s="17"/>
      <c r="H197" s="10"/>
      <c r="I197" s="17"/>
      <c r="J197" s="82"/>
      <c r="K197" s="340"/>
      <c r="L197" s="344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8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>
      <c r="A198" s="10" t="s">
        <v>254</v>
      </c>
      <c r="B198" s="226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5" t="s">
        <v>257</v>
      </c>
      <c r="F198" s="14" t="s">
        <v>352</v>
      </c>
      <c r="G198" s="17" t="s">
        <v>9</v>
      </c>
      <c r="H198" s="10"/>
      <c r="I198" s="17"/>
      <c r="J198" s="82"/>
      <c r="K198" s="341">
        <v>0.52204600000000001</v>
      </c>
      <c r="L198" s="344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16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>
      <c r="A199" s="10" t="s">
        <v>254</v>
      </c>
      <c r="B199" s="226" t="s">
        <v>91</v>
      </c>
      <c r="C199" s="10" t="s">
        <v>107</v>
      </c>
      <c r="D199" s="14" t="str">
        <v>Black Aluminium Mesh 1.6mm</v>
      </c>
      <c r="E199" s="155" t="s">
        <v>269</v>
      </c>
      <c r="F199" s="14" t="s">
        <v>356</v>
      </c>
      <c r="G199" s="17"/>
      <c r="H199" s="10"/>
      <c r="I199" s="17"/>
      <c r="J199" s="82"/>
      <c r="K199" s="340"/>
      <c r="L199" s="344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16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>
      <c r="A200" s="10" t="s">
        <v>254</v>
      </c>
      <c r="B200" s="226" t="s">
        <v>91</v>
      </c>
      <c r="C200" s="10" t="s">
        <v>107</v>
      </c>
      <c r="D200" s="14" t="str">
        <v>Black Aluminium Mesh 1.8mm</v>
      </c>
      <c r="E200" s="155"/>
      <c r="F200" s="10"/>
      <c r="G200" s="17"/>
      <c r="H200" s="10"/>
      <c r="I200" s="17"/>
      <c r="J200" s="82"/>
      <c r="K200" s="340"/>
      <c r="L200" s="344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8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>
      <c r="A201" s="10" t="s">
        <v>254</v>
      </c>
      <c r="B201" s="226" t="s">
        <v>91</v>
      </c>
      <c r="C201" s="10" t="s">
        <v>107</v>
      </c>
      <c r="D201" s="14" t="str">
        <v>Black Stainless Steel Mesh 1.0mm</v>
      </c>
      <c r="E201" s="155"/>
      <c r="F201" s="10"/>
      <c r="G201" s="17"/>
      <c r="H201" s="10"/>
      <c r="I201" s="17"/>
      <c r="J201" s="82"/>
      <c r="K201" s="340"/>
      <c r="L201" s="344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16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>
      <c r="A202" s="10" t="s">
        <v>254</v>
      </c>
      <c r="B202" s="226" t="s">
        <v>91</v>
      </c>
      <c r="C202" s="10" t="s">
        <v>107</v>
      </c>
      <c r="D202" s="14" t="str">
        <v/>
      </c>
      <c r="E202" s="155"/>
      <c r="F202" s="10"/>
      <c r="G202" s="17"/>
      <c r="H202" s="10"/>
      <c r="I202" s="17"/>
      <c r="J202" s="82"/>
      <c r="K202" s="340"/>
      <c r="L202" s="344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32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>
      <c r="A203" s="10" t="s">
        <v>254</v>
      </c>
      <c r="B203" s="226" t="s">
        <v>91</v>
      </c>
      <c r="C203" s="10" t="s">
        <v>107</v>
      </c>
      <c r="D203" s="14" t="str">
        <v/>
      </c>
      <c r="E203" s="155"/>
      <c r="F203" s="10"/>
      <c r="G203" s="17"/>
      <c r="H203" s="10"/>
      <c r="I203" s="17"/>
      <c r="J203" s="82"/>
      <c r="K203" s="340"/>
      <c r="L203" s="344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80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>
      <c r="A204" s="10" t="s">
        <v>254</v>
      </c>
      <c r="B204" s="226" t="s">
        <v>91</v>
      </c>
      <c r="C204" s="10" t="s">
        <v>107</v>
      </c>
      <c r="D204" s="14" t="str">
        <v/>
      </c>
      <c r="E204" s="155"/>
      <c r="F204" s="10"/>
      <c r="G204" s="17"/>
      <c r="H204" s="10"/>
      <c r="I204" s="17"/>
      <c r="J204" s="82"/>
      <c r="K204" s="340"/>
      <c r="L204" s="344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16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>
      <c r="A205" s="10" t="s">
        <v>254</v>
      </c>
      <c r="B205" s="226" t="s">
        <v>91</v>
      </c>
      <c r="C205" s="10" t="s">
        <v>107</v>
      </c>
      <c r="D205" s="14" t="str">
        <v/>
      </c>
      <c r="E205" s="155"/>
      <c r="F205" s="10"/>
      <c r="G205" s="17"/>
      <c r="H205" s="10"/>
      <c r="I205" s="17"/>
      <c r="J205" s="82"/>
      <c r="K205" s="340"/>
      <c r="L205" s="344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>
      <c r="A206" s="10" t="s">
        <v>254</v>
      </c>
      <c r="B206" s="226" t="s">
        <v>91</v>
      </c>
      <c r="C206" s="10" t="s">
        <v>107</v>
      </c>
      <c r="D206" s="14" t="str">
        <v/>
      </c>
      <c r="E206" s="155"/>
      <c r="F206" s="10"/>
      <c r="G206" s="17"/>
      <c r="H206" s="10"/>
      <c r="I206" s="17"/>
      <c r="J206" s="82"/>
      <c r="K206" s="340"/>
      <c r="L206" s="344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>
      <c r="A207" s="10" t="s">
        <v>254</v>
      </c>
      <c r="B207" s="226" t="s">
        <v>91</v>
      </c>
      <c r="C207" s="10" t="s">
        <v>107</v>
      </c>
      <c r="D207" s="14" t="str">
        <v/>
      </c>
      <c r="E207" s="155"/>
      <c r="F207" s="10"/>
      <c r="G207" s="17"/>
      <c r="H207" s="10"/>
      <c r="I207" s="17"/>
      <c r="J207" s="82"/>
      <c r="K207" s="340"/>
      <c r="L207" s="344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>
      <c r="A208" s="10" t="s">
        <v>254</v>
      </c>
      <c r="B208" s="226" t="s">
        <v>91</v>
      </c>
      <c r="C208" s="10" t="s">
        <v>107</v>
      </c>
      <c r="D208" s="14"/>
      <c r="E208" s="155"/>
      <c r="F208" s="10"/>
      <c r="G208" s="17"/>
      <c r="H208" s="10"/>
      <c r="I208" s="17"/>
      <c r="J208" s="82"/>
      <c r="K208" s="340"/>
      <c r="L208" s="344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>
      <c r="A209" s="10" t="s">
        <v>254</v>
      </c>
      <c r="B209" s="226" t="s">
        <v>91</v>
      </c>
      <c r="C209" s="10" t="s">
        <v>107</v>
      </c>
      <c r="D209" s="14"/>
      <c r="E209" s="155"/>
      <c r="F209" s="10"/>
      <c r="G209" s="17"/>
      <c r="H209" s="10"/>
      <c r="I209" s="17"/>
      <c r="J209" s="82"/>
      <c r="K209" s="340"/>
      <c r="L209" s="344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>
      <c r="A210" s="10" t="s">
        <v>254</v>
      </c>
      <c r="B210" s="226" t="s">
        <v>91</v>
      </c>
      <c r="C210" s="10" t="s">
        <v>107</v>
      </c>
      <c r="E210" s="237"/>
      <c r="F210" s="10"/>
      <c r="G210" s="17"/>
      <c r="H210" s="10"/>
      <c r="I210" s="17"/>
      <c r="J210" s="82"/>
      <c r="K210" s="340"/>
      <c r="L210" s="344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>
      <c r="A211" s="10" t="s">
        <v>254</v>
      </c>
      <c r="B211" s="226" t="s">
        <v>91</v>
      </c>
      <c r="C211" s="10"/>
      <c r="D211" s="14"/>
      <c r="E211" s="155"/>
      <c r="F211" s="10"/>
      <c r="G211" s="17"/>
      <c r="H211" s="10"/>
      <c r="I211" s="17"/>
      <c r="J211" s="82"/>
      <c r="K211" s="340"/>
      <c r="L211" s="344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>
      <c r="A212" s="10" t="s">
        <v>254</v>
      </c>
      <c r="B212" s="226" t="s">
        <v>91</v>
      </c>
      <c r="C212" s="10"/>
      <c r="D212" s="14"/>
      <c r="E212" s="155"/>
      <c r="F212" s="10"/>
      <c r="G212" s="17"/>
      <c r="H212" s="10"/>
      <c r="I212" s="17"/>
      <c r="J212" s="82"/>
      <c r="K212" s="340"/>
      <c r="L212" s="344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>
      <c r="A213" s="10" t="s">
        <v>254</v>
      </c>
      <c r="B213" s="226" t="s">
        <v>91</v>
      </c>
      <c r="C213" s="10" t="s">
        <v>97</v>
      </c>
      <c r="D213" s="14"/>
      <c r="E213" s="155" t="s">
        <v>257</v>
      </c>
      <c r="F213" s="10"/>
      <c r="G213" s="17"/>
      <c r="H213" s="10"/>
      <c r="I213" s="17"/>
      <c r="J213" s="82"/>
      <c r="K213" s="340"/>
      <c r="L213" s="344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16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>
      <c r="A214" s="10" t="s">
        <v>254</v>
      </c>
      <c r="B214" s="226" t="s">
        <v>91</v>
      </c>
      <c r="C214" s="10" t="s">
        <v>97</v>
      </c>
      <c r="D214" s="14"/>
      <c r="E214" s="155" t="s">
        <v>269</v>
      </c>
      <c r="F214" s="10"/>
      <c r="G214" s="17"/>
      <c r="H214" s="10"/>
      <c r="I214" s="17"/>
      <c r="J214" s="82"/>
      <c r="K214" s="340"/>
      <c r="L214" s="344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16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>
      <c r="A215" s="10" t="s">
        <v>254</v>
      </c>
      <c r="B215" s="226" t="s">
        <v>91</v>
      </c>
      <c r="C215" s="10" t="s">
        <v>97</v>
      </c>
      <c r="D215" s="14"/>
      <c r="E215" s="155"/>
      <c r="F215" s="10"/>
      <c r="G215" s="17"/>
      <c r="H215" s="10"/>
      <c r="I215" s="17"/>
      <c r="J215" s="82"/>
      <c r="K215" s="340"/>
      <c r="L215" s="344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8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>
      <c r="A216" s="10" t="s">
        <v>254</v>
      </c>
      <c r="B216" s="226" t="s">
        <v>91</v>
      </c>
      <c r="C216" s="10" t="s">
        <v>97</v>
      </c>
      <c r="D216" s="14"/>
      <c r="E216" s="155"/>
      <c r="F216" s="10"/>
      <c r="G216" s="17"/>
      <c r="H216" s="10"/>
      <c r="I216" s="17"/>
      <c r="J216" s="82"/>
      <c r="K216" s="340"/>
      <c r="L216" s="344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16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>
      <c r="A217" s="10" t="s">
        <v>254</v>
      </c>
      <c r="B217" s="226" t="s">
        <v>91</v>
      </c>
      <c r="C217" s="10" t="s">
        <v>97</v>
      </c>
      <c r="D217" s="14"/>
      <c r="E217" s="155"/>
      <c r="F217" s="10"/>
      <c r="G217" s="17"/>
      <c r="H217" s="10"/>
      <c r="I217" s="17"/>
      <c r="J217" s="82"/>
      <c r="K217" s="340"/>
      <c r="L217" s="344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32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>
      <c r="A218" s="10" t="s">
        <v>254</v>
      </c>
      <c r="B218" s="226" t="s">
        <v>91</v>
      </c>
      <c r="C218" s="10" t="s">
        <v>97</v>
      </c>
      <c r="D218" s="14"/>
      <c r="E218" s="155"/>
      <c r="F218" s="10"/>
      <c r="G218" s="17"/>
      <c r="H218" s="10"/>
      <c r="I218" s="17"/>
      <c r="J218" s="82"/>
      <c r="K218" s="340"/>
      <c r="L218" s="344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80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>
      <c r="A219" s="10" t="s">
        <v>254</v>
      </c>
      <c r="B219" s="226" t="s">
        <v>91</v>
      </c>
      <c r="C219" s="10" t="s">
        <v>97</v>
      </c>
      <c r="D219" s="14"/>
      <c r="E219" s="155"/>
      <c r="F219" s="10"/>
      <c r="G219" s="17"/>
      <c r="H219" s="10"/>
      <c r="I219" s="17"/>
      <c r="J219" s="82"/>
      <c r="K219" s="340"/>
      <c r="L219" s="344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16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>
      <c r="A220" s="10" t="s">
        <v>254</v>
      </c>
      <c r="B220" s="226" t="s">
        <v>91</v>
      </c>
      <c r="C220" s="10" t="s">
        <v>97</v>
      </c>
      <c r="D220" s="14"/>
      <c r="E220" s="155"/>
      <c r="F220" s="10"/>
      <c r="G220" s="17"/>
      <c r="H220" s="10"/>
      <c r="I220" s="17"/>
      <c r="J220" s="82"/>
      <c r="K220" s="340"/>
      <c r="L220" s="344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>
      <c r="A221" s="10" t="s">
        <v>254</v>
      </c>
      <c r="B221" s="226" t="s">
        <v>91</v>
      </c>
      <c r="C221" s="10" t="s">
        <v>97</v>
      </c>
      <c r="D221" s="14"/>
      <c r="E221" s="155"/>
      <c r="F221" s="10"/>
      <c r="G221" s="17"/>
      <c r="H221" s="10"/>
      <c r="I221" s="17"/>
      <c r="J221" s="82"/>
      <c r="K221" s="340"/>
      <c r="L221" s="344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>
      <c r="A222" s="10" t="s">
        <v>254</v>
      </c>
      <c r="B222" s="226" t="s">
        <v>91</v>
      </c>
      <c r="C222" s="10" t="s">
        <v>97</v>
      </c>
      <c r="D222" s="14"/>
      <c r="E222" s="155"/>
      <c r="F222" s="10"/>
      <c r="G222" s="17"/>
      <c r="H222" s="10"/>
      <c r="I222" s="17"/>
      <c r="J222" s="82"/>
      <c r="K222" s="340"/>
      <c r="L222" s="344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>
      <c r="A223" s="10" t="s">
        <v>254</v>
      </c>
      <c r="B223" s="226" t="s">
        <v>91</v>
      </c>
      <c r="C223" s="10" t="s">
        <v>97</v>
      </c>
      <c r="D223" s="14"/>
      <c r="E223" s="155"/>
      <c r="F223" s="10"/>
      <c r="G223" s="17"/>
      <c r="H223" s="10"/>
      <c r="I223" s="17"/>
      <c r="J223" s="82"/>
      <c r="K223" s="340"/>
      <c r="L223" s="344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>
      <c r="A224" s="10" t="s">
        <v>254</v>
      </c>
      <c r="B224" s="226" t="s">
        <v>91</v>
      </c>
      <c r="C224" s="10" t="s">
        <v>97</v>
      </c>
      <c r="D224" s="14"/>
      <c r="E224" s="155"/>
      <c r="F224" s="10"/>
      <c r="G224" s="17"/>
      <c r="H224" s="10"/>
      <c r="I224" s="17"/>
      <c r="J224" s="82"/>
      <c r="K224" s="340"/>
      <c r="L224" s="344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>
      <c r="A225" s="10" t="s">
        <v>254</v>
      </c>
      <c r="B225" s="226" t="s">
        <v>91</v>
      </c>
      <c r="C225" s="10" t="s">
        <v>97</v>
      </c>
      <c r="D225" s="14"/>
      <c r="E225" s="155"/>
      <c r="F225" s="10"/>
      <c r="G225" s="17"/>
      <c r="H225" s="10"/>
      <c r="I225" s="17"/>
      <c r="J225" s="82"/>
      <c r="K225" s="340"/>
      <c r="L225" s="344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>
      <c r="A226" s="10" t="s">
        <v>254</v>
      </c>
      <c r="B226" s="226" t="s">
        <v>91</v>
      </c>
      <c r="C226" s="10" t="s">
        <v>97</v>
      </c>
      <c r="D226" s="14"/>
      <c r="E226" s="155"/>
      <c r="F226" s="10"/>
      <c r="G226" s="17"/>
      <c r="H226" s="10"/>
      <c r="I226" s="17"/>
      <c r="J226" s="82"/>
      <c r="K226" s="340"/>
      <c r="L226" s="344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>
      <c r="A227" s="10" t="s">
        <v>254</v>
      </c>
      <c r="B227" s="226" t="s">
        <v>91</v>
      </c>
      <c r="C227" s="10"/>
      <c r="D227" s="14"/>
      <c r="E227" s="155"/>
      <c r="F227" s="10"/>
      <c r="G227" s="17"/>
      <c r="H227" s="10"/>
      <c r="I227" s="17"/>
      <c r="J227" s="82"/>
      <c r="K227" s="340"/>
      <c r="L227" s="344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>
      <c r="A228" s="10" t="s">
        <v>254</v>
      </c>
      <c r="B228" s="226" t="s">
        <v>91</v>
      </c>
      <c r="C228" s="10"/>
      <c r="D228" s="14"/>
      <c r="E228" s="155"/>
      <c r="F228" s="10"/>
      <c r="G228" s="17"/>
      <c r="H228" s="10"/>
      <c r="I228" s="17"/>
      <c r="J228" s="82"/>
      <c r="K228" s="340"/>
      <c r="L228" s="344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>
      <c r="A229" s="10" t="s">
        <v>254</v>
      </c>
      <c r="B229" s="226" t="s">
        <v>91</v>
      </c>
      <c r="C229" s="10"/>
      <c r="D229" s="14"/>
      <c r="E229" s="155"/>
      <c r="F229" s="10"/>
      <c r="G229" s="17"/>
      <c r="H229" s="10"/>
      <c r="I229" s="17"/>
      <c r="J229" s="82"/>
      <c r="K229" s="340"/>
      <c r="L229" s="344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>
      <c r="A230" s="10" t="s">
        <v>254</v>
      </c>
      <c r="B230" s="226" t="s">
        <v>91</v>
      </c>
      <c r="C230" s="10"/>
      <c r="D230" s="14"/>
      <c r="E230" s="155"/>
      <c r="F230" s="10"/>
      <c r="G230" s="17"/>
      <c r="H230" s="10"/>
      <c r="I230" s="17"/>
      <c r="J230" s="82"/>
      <c r="K230" s="340"/>
      <c r="L230" s="344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>
      <c r="A231" s="10" t="s">
        <v>254</v>
      </c>
      <c r="B231" s="226" t="s">
        <v>91</v>
      </c>
      <c r="C231" s="10"/>
      <c r="D231" s="14"/>
      <c r="E231" s="155"/>
      <c r="F231" s="10"/>
      <c r="G231" s="17"/>
      <c r="H231" s="10"/>
      <c r="I231" s="17"/>
      <c r="J231" s="82"/>
      <c r="K231" s="340"/>
      <c r="L231" s="344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>
      <c r="A232" s="10" t="s">
        <v>254</v>
      </c>
      <c r="B232" s="226" t="s">
        <v>91</v>
      </c>
      <c r="C232" s="10"/>
      <c r="D232" s="14"/>
      <c r="E232" s="155"/>
      <c r="F232" s="10"/>
      <c r="G232" s="17"/>
      <c r="H232" s="10"/>
      <c r="I232" s="17"/>
      <c r="J232" s="82"/>
      <c r="K232" s="340"/>
      <c r="L232" s="344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>
      <c r="A233" s="10" t="s">
        <v>254</v>
      </c>
      <c r="B233" s="226" t="s">
        <v>91</v>
      </c>
      <c r="C233" s="10"/>
      <c r="D233" s="14"/>
      <c r="E233" s="155"/>
      <c r="F233" s="10"/>
      <c r="G233" s="17"/>
      <c r="H233" s="10"/>
      <c r="I233" s="17"/>
      <c r="J233" s="82"/>
      <c r="K233" s="340"/>
      <c r="L233" s="344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>
      <c r="A234" s="10" t="s">
        <v>254</v>
      </c>
      <c r="B234" s="226" t="s">
        <v>91</v>
      </c>
      <c r="C234" s="10"/>
      <c r="D234" s="14"/>
      <c r="E234" s="155"/>
      <c r="F234" s="10"/>
      <c r="G234" s="17"/>
      <c r="H234" s="10"/>
      <c r="I234" s="17"/>
      <c r="J234" s="82"/>
      <c r="K234" s="340"/>
      <c r="L234" s="344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>
      <c r="A235" s="10" t="s">
        <v>254</v>
      </c>
      <c r="B235" s="226" t="s">
        <v>91</v>
      </c>
      <c r="C235" s="10"/>
      <c r="D235" s="14"/>
      <c r="E235" s="155"/>
      <c r="F235" s="10"/>
      <c r="G235" s="17"/>
      <c r="H235" s="10"/>
      <c r="I235" s="17"/>
      <c r="J235" s="82"/>
      <c r="K235" s="340"/>
      <c r="L235" s="344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>
      <c r="A236" s="10" t="s">
        <v>254</v>
      </c>
      <c r="B236" s="226" t="s">
        <v>91</v>
      </c>
      <c r="C236" s="10"/>
      <c r="D236" s="14"/>
      <c r="E236" s="155"/>
      <c r="F236" s="10"/>
      <c r="G236" s="17"/>
      <c r="H236" s="10"/>
      <c r="I236" s="17"/>
      <c r="J236" s="82"/>
      <c r="K236" s="340"/>
      <c r="L236" s="344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P/C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>
      <c r="A237" s="10" t="s">
        <v>254</v>
      </c>
      <c r="B237" s="226" t="s">
        <v>91</v>
      </c>
      <c r="C237" s="10"/>
      <c r="D237" s="14"/>
      <c r="E237" s="155"/>
      <c r="F237" s="10"/>
      <c r="G237" s="17"/>
      <c r="H237" s="10"/>
      <c r="I237" s="17"/>
      <c r="J237" s="82"/>
      <c r="K237" s="340"/>
      <c r="L237" s="344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160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>
      <c r="A238" s="10" t="s">
        <v>254</v>
      </c>
      <c r="B238" s="226" t="s">
        <v>91</v>
      </c>
      <c r="C238" s="10"/>
      <c r="D238" s="14"/>
      <c r="E238" s="155"/>
      <c r="F238" s="10"/>
      <c r="G238" s="17"/>
      <c r="H238" s="10"/>
      <c r="I238" s="17"/>
      <c r="J238" s="82"/>
      <c r="K238" s="340"/>
      <c r="L238" s="344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>
      <c r="A239" s="10" t="s">
        <v>254</v>
      </c>
      <c r="B239" s="226" t="s">
        <v>91</v>
      </c>
      <c r="C239" s="10"/>
      <c r="D239" s="14"/>
      <c r="E239" s="155"/>
      <c r="F239" s="10"/>
      <c r="G239" s="17"/>
      <c r="H239" s="10"/>
      <c r="I239" s="17"/>
      <c r="J239" s="82"/>
      <c r="K239" s="340"/>
      <c r="L239" s="344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>
      <c r="A240" s="10" t="s">
        <v>254</v>
      </c>
      <c r="B240" s="226" t="s">
        <v>91</v>
      </c>
      <c r="C240" s="10"/>
      <c r="D240" s="14"/>
      <c r="E240" s="155"/>
      <c r="F240" s="10"/>
      <c r="G240" s="17"/>
      <c r="H240" s="10"/>
      <c r="I240" s="17"/>
      <c r="J240" s="82"/>
      <c r="K240" s="340"/>
      <c r="L240" s="344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>
      <c r="A241" s="10" t="s">
        <v>254</v>
      </c>
      <c r="B241" s="226" t="s">
        <v>91</v>
      </c>
      <c r="C241" s="10"/>
      <c r="D241" s="14"/>
      <c r="E241" s="155"/>
      <c r="F241" s="10"/>
      <c r="G241" s="17"/>
      <c r="H241" s="10"/>
      <c r="I241" s="17"/>
      <c r="J241" s="82"/>
      <c r="K241" s="340"/>
      <c r="L241" s="344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4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>
      <c r="A242" s="10" t="s">
        <v>254</v>
      </c>
      <c r="B242" s="226" t="s">
        <v>91</v>
      </c>
      <c r="C242" s="10"/>
      <c r="D242" s="14"/>
      <c r="E242" s="155"/>
      <c r="F242" s="10"/>
      <c r="G242" s="17"/>
      <c r="H242" s="10"/>
      <c r="I242" s="17"/>
      <c r="J242" s="82"/>
      <c r="K242" s="340"/>
      <c r="L242" s="344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8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>
      <c r="A243" s="10" t="s">
        <v>254</v>
      </c>
      <c r="B243" s="226" t="s">
        <v>91</v>
      </c>
      <c r="C243" s="10"/>
      <c r="D243" s="14"/>
      <c r="E243" s="155"/>
      <c r="F243" s="10"/>
      <c r="G243" s="17"/>
      <c r="H243" s="10"/>
      <c r="I243" s="17"/>
      <c r="J243" s="82"/>
      <c r="K243" s="340"/>
      <c r="L243" s="344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8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>
      <c r="A244" s="10" t="s">
        <v>254</v>
      </c>
      <c r="B244" s="226" t="s">
        <v>91</v>
      </c>
      <c r="C244" s="10"/>
      <c r="D244" s="14"/>
      <c r="E244" s="155"/>
      <c r="F244" s="10"/>
      <c r="G244" s="17"/>
      <c r="H244" s="10"/>
      <c r="I244" s="17"/>
      <c r="J244" s="82"/>
      <c r="K244" s="340"/>
      <c r="L244" s="344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16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>
      <c r="A245" s="10" t="s">
        <v>254</v>
      </c>
      <c r="B245" s="226" t="s">
        <v>91</v>
      </c>
      <c r="C245" s="10"/>
      <c r="D245" s="14"/>
      <c r="E245" s="155"/>
      <c r="F245" s="10"/>
      <c r="G245" s="17"/>
      <c r="H245" s="10"/>
      <c r="I245" s="17"/>
      <c r="J245" s="82"/>
      <c r="K245" s="340"/>
      <c r="L245" s="344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3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>
      <c r="A246" s="17" t="s">
        <v>254</v>
      </c>
      <c r="B246" s="227" t="s">
        <v>91</v>
      </c>
      <c r="C246" s="17"/>
      <c r="D246" s="18"/>
      <c r="E246" s="235"/>
      <c r="F246" s="17"/>
      <c r="G246" s="17"/>
      <c r="H246" s="10"/>
      <c r="I246" s="17"/>
      <c r="J246" s="82"/>
      <c r="K246" s="340"/>
      <c r="L246" s="344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3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>
      <c r="A247" s="10" t="s">
        <v>254</v>
      </c>
      <c r="B247" s="226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5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1">
        <v>0.62962300000000004</v>
      </c>
      <c r="L247" s="344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80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>
      <c r="A248" s="10" t="s">
        <v>254</v>
      </c>
      <c r="B248" s="226" t="s">
        <v>92</v>
      </c>
      <c r="C248" s="10" t="s">
        <v>107</v>
      </c>
      <c r="D248" s="14" t="str">
        <v>Black Aluminium Mesh 1.6mm</v>
      </c>
      <c r="E248" s="155" t="s">
        <v>269</v>
      </c>
      <c r="F248" s="14"/>
      <c r="G248" s="17" t="s">
        <v>356</v>
      </c>
      <c r="H248" s="10"/>
      <c r="I248" s="17"/>
      <c r="J248" s="82"/>
      <c r="K248" s="340"/>
      <c r="L248" s="344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16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>
      <c r="A249" s="10" t="s">
        <v>254</v>
      </c>
      <c r="B249" s="226" t="s">
        <v>92</v>
      </c>
      <c r="C249" s="10" t="s">
        <v>107</v>
      </c>
      <c r="D249" s="14" t="str">
        <v>Black Aluminium Mesh 1.8mm</v>
      </c>
      <c r="E249" s="155"/>
      <c r="F249" s="10"/>
      <c r="G249" s="17"/>
      <c r="H249" s="10"/>
      <c r="I249" s="17"/>
      <c r="J249" s="82"/>
      <c r="K249" s="340"/>
      <c r="L249" s="344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>
      <c r="A250" s="10" t="s">
        <v>254</v>
      </c>
      <c r="B250" s="226" t="s">
        <v>92</v>
      </c>
      <c r="C250" s="10" t="s">
        <v>107</v>
      </c>
      <c r="D250" s="14" t="str">
        <v>Black Stainless Steel Mesh 1.0mm</v>
      </c>
      <c r="E250" s="155"/>
      <c r="F250" s="10"/>
      <c r="G250" s="17"/>
      <c r="H250" s="10"/>
      <c r="I250" s="17"/>
      <c r="J250" s="82"/>
      <c r="K250" s="340"/>
      <c r="L250" s="344"/>
      <c r="M250" s="88">
        <v>4</v>
      </c>
      <c r="N250" s="10" t="s">
        <v>103</v>
      </c>
      <c r="O250" s="22">
        <v>5.01</v>
      </c>
      <c r="P250" s="105" t="str">
        <f>Enginuity!$A$21</f>
        <v>Breezway 102mm Glass Infill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>
      <c r="A251" s="10" t="s">
        <v>254</v>
      </c>
      <c r="B251" s="226" t="s">
        <v>92</v>
      </c>
      <c r="C251" s="10" t="s">
        <v>107</v>
      </c>
      <c r="D251" s="14" t="str">
        <v/>
      </c>
      <c r="E251" s="155"/>
      <c r="F251" s="10"/>
      <c r="G251" s="17"/>
      <c r="H251" s="10"/>
      <c r="I251" s="17"/>
      <c r="J251" s="82"/>
      <c r="K251" s="340"/>
      <c r="L251" s="344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>
      <c r="A252" s="10" t="s">
        <v>254</v>
      </c>
      <c r="B252" s="226" t="s">
        <v>92</v>
      </c>
      <c r="C252" s="10" t="s">
        <v>107</v>
      </c>
      <c r="D252" s="14" t="str">
        <v/>
      </c>
      <c r="E252" s="155"/>
      <c r="F252" s="10"/>
      <c r="G252" s="17"/>
      <c r="H252" s="10"/>
      <c r="I252" s="17"/>
      <c r="J252" s="82"/>
      <c r="K252" s="340"/>
      <c r="L252" s="344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>
      <c r="A253" s="10" t="s">
        <v>254</v>
      </c>
      <c r="B253" s="226" t="s">
        <v>92</v>
      </c>
      <c r="C253" s="10" t="s">
        <v>107</v>
      </c>
      <c r="D253" s="14" t="str">
        <v/>
      </c>
      <c r="E253" s="155"/>
      <c r="F253" s="10"/>
      <c r="G253" s="17"/>
      <c r="H253" s="10"/>
      <c r="I253" s="17"/>
      <c r="J253" s="82"/>
      <c r="K253" s="340"/>
      <c r="L253" s="344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>
      <c r="A254" s="10" t="s">
        <v>254</v>
      </c>
      <c r="B254" s="226" t="s">
        <v>92</v>
      </c>
      <c r="C254" s="10" t="s">
        <v>107</v>
      </c>
      <c r="D254" s="15" t="str">
        <v/>
      </c>
      <c r="E254" s="237"/>
      <c r="F254" s="10"/>
      <c r="G254" s="17"/>
      <c r="H254" s="10"/>
      <c r="I254" s="17"/>
      <c r="J254" s="82"/>
      <c r="K254" s="340"/>
      <c r="L254" s="344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>
      <c r="A255" s="10" t="s">
        <v>254</v>
      </c>
      <c r="B255" s="226" t="s">
        <v>92</v>
      </c>
      <c r="C255" s="10"/>
      <c r="D255" s="14" t="str">
        <v/>
      </c>
      <c r="E255" s="155"/>
      <c r="F255" s="10"/>
      <c r="G255" s="17"/>
      <c r="H255" s="10"/>
      <c r="I255" s="17"/>
      <c r="J255" s="82"/>
      <c r="K255" s="340"/>
      <c r="L255" s="344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>
      <c r="A256" s="10" t="s">
        <v>254</v>
      </c>
      <c r="B256" s="226" t="s">
        <v>92</v>
      </c>
      <c r="C256" s="10"/>
      <c r="D256" s="14" t="str">
        <v/>
      </c>
      <c r="E256" s="155"/>
      <c r="F256" s="10"/>
      <c r="G256" s="17"/>
      <c r="H256" s="10"/>
      <c r="I256" s="17"/>
      <c r="J256" s="82"/>
      <c r="K256" s="340"/>
      <c r="L256" s="344"/>
      <c r="M256" s="88">
        <v>10</v>
      </c>
      <c r="N256" s="10"/>
      <c r="O256" s="22"/>
      <c r="P256" s="14"/>
      <c r="Q256" s="82">
        <f>$F$2</f>
        <v>275.04000000000002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>
      <c r="A257" s="10" t="s">
        <v>254</v>
      </c>
      <c r="B257" s="226" t="s">
        <v>92</v>
      </c>
      <c r="C257" s="10" t="s">
        <v>97</v>
      </c>
      <c r="D257" s="14"/>
      <c r="E257" s="155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0"/>
      <c r="L257" s="344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80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>
      <c r="A258" s="10" t="s">
        <v>254</v>
      </c>
      <c r="B258" s="226" t="s">
        <v>92</v>
      </c>
      <c r="C258" s="10" t="s">
        <v>97</v>
      </c>
      <c r="D258" s="14"/>
      <c r="E258" s="155" t="s">
        <v>269</v>
      </c>
      <c r="F258" s="14"/>
      <c r="G258" s="17" t="s">
        <v>356</v>
      </c>
      <c r="H258" s="10"/>
      <c r="I258" s="17"/>
      <c r="J258" s="82"/>
      <c r="K258" s="340"/>
      <c r="L258" s="344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16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>
      <c r="A259" s="10" t="s">
        <v>254</v>
      </c>
      <c r="B259" s="226" t="s">
        <v>92</v>
      </c>
      <c r="C259" s="10" t="s">
        <v>97</v>
      </c>
      <c r="D259" s="14"/>
      <c r="E259" s="155"/>
      <c r="F259" s="10"/>
      <c r="G259" s="17"/>
      <c r="H259" s="10"/>
      <c r="I259" s="17"/>
      <c r="J259" s="82"/>
      <c r="K259" s="340"/>
      <c r="L259" s="344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>
      <c r="A260" s="10" t="s">
        <v>254</v>
      </c>
      <c r="B260" s="226" t="s">
        <v>92</v>
      </c>
      <c r="C260" s="10" t="s">
        <v>97</v>
      </c>
      <c r="D260" s="14"/>
      <c r="E260" s="155"/>
      <c r="F260" s="10"/>
      <c r="G260" s="17"/>
      <c r="H260" s="10"/>
      <c r="I260" s="17"/>
      <c r="J260" s="82"/>
      <c r="K260" s="340"/>
      <c r="L260" s="344"/>
      <c r="M260" s="88">
        <v>14</v>
      </c>
      <c r="N260" s="10" t="s">
        <v>103</v>
      </c>
      <c r="O260" s="22">
        <v>5.87</v>
      </c>
      <c r="P260" s="105" t="str">
        <f>Enginuity!$A$21</f>
        <v>Breezway 102mm Glass Infill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>
      <c r="A261" s="10" t="s">
        <v>254</v>
      </c>
      <c r="B261" s="226" t="s">
        <v>92</v>
      </c>
      <c r="C261" s="10" t="s">
        <v>97</v>
      </c>
      <c r="D261" s="14"/>
      <c r="E261" s="155"/>
      <c r="F261" s="10"/>
      <c r="G261" s="17"/>
      <c r="H261" s="10"/>
      <c r="I261" s="17"/>
      <c r="J261" s="82"/>
      <c r="K261" s="340"/>
      <c r="L261" s="344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>
      <c r="A262" s="10" t="s">
        <v>254</v>
      </c>
      <c r="B262" s="226" t="s">
        <v>92</v>
      </c>
      <c r="C262" s="10" t="s">
        <v>97</v>
      </c>
      <c r="D262" s="14"/>
      <c r="E262" s="155"/>
      <c r="F262" s="10"/>
      <c r="G262" s="17"/>
      <c r="H262" s="10"/>
      <c r="I262" s="17"/>
      <c r="J262" s="82"/>
      <c r="K262" s="340"/>
      <c r="L262" s="344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>
      <c r="A263" s="10" t="s">
        <v>254</v>
      </c>
      <c r="B263" s="226" t="s">
        <v>92</v>
      </c>
      <c r="C263" s="10" t="s">
        <v>97</v>
      </c>
      <c r="D263" s="14"/>
      <c r="E263" s="155"/>
      <c r="F263" s="10"/>
      <c r="G263" s="17"/>
      <c r="H263" s="10"/>
      <c r="I263" s="17"/>
      <c r="J263" s="82"/>
      <c r="K263" s="340"/>
      <c r="L263" s="344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>
      <c r="A264" s="10" t="s">
        <v>254</v>
      </c>
      <c r="B264" s="226" t="s">
        <v>92</v>
      </c>
      <c r="C264" s="10" t="s">
        <v>97</v>
      </c>
      <c r="D264" s="14"/>
      <c r="E264" s="155"/>
      <c r="F264" s="10"/>
      <c r="G264" s="17"/>
      <c r="H264" s="10"/>
      <c r="I264" s="17"/>
      <c r="J264" s="82"/>
      <c r="K264" s="340"/>
      <c r="L264" s="344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>
      <c r="A265" s="10" t="s">
        <v>254</v>
      </c>
      <c r="B265" s="226" t="s">
        <v>92</v>
      </c>
      <c r="C265" s="10"/>
      <c r="D265" s="14"/>
      <c r="E265" s="155"/>
      <c r="F265" s="10"/>
      <c r="G265" s="17"/>
      <c r="H265" s="10"/>
      <c r="I265" s="17"/>
      <c r="J265" s="82"/>
      <c r="K265" s="340"/>
      <c r="L265" s="344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>
      <c r="A266" s="10" t="s">
        <v>254</v>
      </c>
      <c r="B266" s="226" t="s">
        <v>92</v>
      </c>
      <c r="C266" s="10"/>
      <c r="D266" s="14"/>
      <c r="E266" s="155"/>
      <c r="F266" s="10"/>
      <c r="G266" s="17"/>
      <c r="H266" s="10"/>
      <c r="I266" s="17"/>
      <c r="J266" s="82"/>
      <c r="K266" s="340"/>
      <c r="L266" s="344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>
      <c r="A267" s="10" t="s">
        <v>254</v>
      </c>
      <c r="B267" s="226" t="s">
        <v>92</v>
      </c>
      <c r="C267" s="10"/>
      <c r="D267" s="14"/>
      <c r="E267" s="155"/>
      <c r="F267" s="10"/>
      <c r="G267" s="17"/>
      <c r="H267" s="10"/>
      <c r="I267" s="17"/>
      <c r="J267" s="82"/>
      <c r="K267" s="340"/>
      <c r="L267" s="344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>
      <c r="A268" s="10" t="s">
        <v>254</v>
      </c>
      <c r="B268" s="226" t="s">
        <v>92</v>
      </c>
      <c r="C268" s="10"/>
      <c r="D268" s="14"/>
      <c r="E268" s="155"/>
      <c r="F268" s="10"/>
      <c r="G268" s="17"/>
      <c r="H268" s="10"/>
      <c r="I268" s="17"/>
      <c r="J268" s="82"/>
      <c r="K268" s="340"/>
      <c r="L268" s="344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>
      <c r="A269" s="10" t="s">
        <v>254</v>
      </c>
      <c r="B269" s="226" t="s">
        <v>92</v>
      </c>
      <c r="C269" s="10"/>
      <c r="D269" s="14"/>
      <c r="E269" s="155"/>
      <c r="F269" s="10"/>
      <c r="G269" s="17"/>
      <c r="H269" s="10"/>
      <c r="I269" s="17"/>
      <c r="J269" s="82"/>
      <c r="K269" s="340"/>
      <c r="L269" s="344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>
      <c r="A270" s="10" t="s">
        <v>254</v>
      </c>
      <c r="B270" s="226" t="s">
        <v>92</v>
      </c>
      <c r="C270" s="10"/>
      <c r="D270" s="14"/>
      <c r="E270" s="155"/>
      <c r="F270" s="10"/>
      <c r="G270" s="17"/>
      <c r="H270" s="10"/>
      <c r="I270" s="17"/>
      <c r="J270" s="82"/>
      <c r="K270" s="340"/>
      <c r="L270" s="344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>
      <c r="A271" s="10" t="s">
        <v>254</v>
      </c>
      <c r="B271" s="226" t="s">
        <v>92</v>
      </c>
      <c r="C271" s="10"/>
      <c r="D271" s="14"/>
      <c r="E271" s="155"/>
      <c r="F271" s="10"/>
      <c r="G271" s="17"/>
      <c r="H271" s="10"/>
      <c r="I271" s="17"/>
      <c r="J271" s="82"/>
      <c r="K271" s="340"/>
      <c r="L271" s="344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>
      <c r="A272" s="10" t="s">
        <v>254</v>
      </c>
      <c r="B272" s="226" t="s">
        <v>92</v>
      </c>
      <c r="C272" s="10"/>
      <c r="D272" s="14"/>
      <c r="E272" s="155"/>
      <c r="F272" s="10"/>
      <c r="G272" s="17"/>
      <c r="H272" s="10"/>
      <c r="I272" s="17"/>
      <c r="J272" s="82"/>
      <c r="K272" s="340"/>
      <c r="L272" s="344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>
      <c r="A273" s="10" t="s">
        <v>254</v>
      </c>
      <c r="B273" s="226" t="s">
        <v>92</v>
      </c>
      <c r="C273" s="10"/>
      <c r="D273" s="14"/>
      <c r="E273" s="155"/>
      <c r="F273" s="10"/>
      <c r="G273" s="17"/>
      <c r="H273" s="10"/>
      <c r="I273" s="17"/>
      <c r="J273" s="82"/>
      <c r="K273" s="340"/>
      <c r="L273" s="344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>
      <c r="A274" s="10" t="s">
        <v>254</v>
      </c>
      <c r="B274" s="226" t="s">
        <v>92</v>
      </c>
      <c r="C274" s="10"/>
      <c r="D274" s="14"/>
      <c r="E274" s="155"/>
      <c r="F274" s="10"/>
      <c r="G274" s="17"/>
      <c r="H274" s="10"/>
      <c r="I274" s="17"/>
      <c r="J274" s="82"/>
      <c r="K274" s="340"/>
      <c r="L274" s="344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>
      <c r="A275" s="10" t="s">
        <v>254</v>
      </c>
      <c r="B275" s="226" t="s">
        <v>92</v>
      </c>
      <c r="C275" s="10"/>
      <c r="D275" s="14"/>
      <c r="E275" s="155"/>
      <c r="F275" s="10"/>
      <c r="G275" s="17"/>
      <c r="H275" s="10"/>
      <c r="I275" s="17"/>
      <c r="J275" s="82"/>
      <c r="K275" s="340"/>
      <c r="L275" s="344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>
      <c r="A276" s="10" t="s">
        <v>254</v>
      </c>
      <c r="B276" s="226" t="s">
        <v>92</v>
      </c>
      <c r="C276" s="10"/>
      <c r="D276" s="14"/>
      <c r="E276" s="155"/>
      <c r="F276" s="10"/>
      <c r="G276" s="17"/>
      <c r="H276" s="10"/>
      <c r="I276" s="17"/>
      <c r="J276" s="82"/>
      <c r="K276" s="340"/>
      <c r="L276" s="344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>
      <c r="A277" s="10" t="s">
        <v>254</v>
      </c>
      <c r="B277" s="226" t="s">
        <v>92</v>
      </c>
      <c r="C277" s="10"/>
      <c r="D277" s="14"/>
      <c r="E277" s="155"/>
      <c r="F277" s="10"/>
      <c r="G277" s="17"/>
      <c r="H277" s="10"/>
      <c r="I277" s="17"/>
      <c r="J277" s="82"/>
      <c r="K277" s="340"/>
      <c r="L277" s="344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>
      <c r="A278" s="10" t="s">
        <v>254</v>
      </c>
      <c r="B278" s="226" t="s">
        <v>92</v>
      </c>
      <c r="C278" s="10"/>
      <c r="D278" s="14"/>
      <c r="E278" s="155"/>
      <c r="F278" s="10"/>
      <c r="G278" s="17"/>
      <c r="H278" s="10"/>
      <c r="I278" s="17"/>
      <c r="J278" s="82"/>
      <c r="K278" s="340"/>
      <c r="L278" s="344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>
      <c r="A279" s="10" t="s">
        <v>254</v>
      </c>
      <c r="B279" s="226" t="s">
        <v>92</v>
      </c>
      <c r="C279" s="10"/>
      <c r="D279" s="14"/>
      <c r="E279" s="155"/>
      <c r="F279" s="10"/>
      <c r="G279" s="17"/>
      <c r="H279" s="10"/>
      <c r="I279" s="17"/>
      <c r="J279" s="82"/>
      <c r="K279" s="340"/>
      <c r="L279" s="344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>
      <c r="A280" s="10" t="s">
        <v>254</v>
      </c>
      <c r="B280" s="226" t="s">
        <v>92</v>
      </c>
      <c r="C280" s="10"/>
      <c r="D280" s="14"/>
      <c r="E280" s="155"/>
      <c r="F280" s="10"/>
      <c r="G280" s="17"/>
      <c r="H280" s="10"/>
      <c r="I280" s="17"/>
      <c r="J280" s="82"/>
      <c r="K280" s="340"/>
      <c r="L280" s="344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>
      <c r="A281" s="10" t="s">
        <v>254</v>
      </c>
      <c r="B281" s="226" t="s">
        <v>92</v>
      </c>
      <c r="C281" s="10"/>
      <c r="D281" s="14"/>
      <c r="E281" s="155"/>
      <c r="F281" s="10"/>
      <c r="G281" s="17"/>
      <c r="H281" s="10"/>
      <c r="I281" s="17"/>
      <c r="J281" s="82"/>
      <c r="K281" s="340"/>
      <c r="L281" s="344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>
      <c r="A282" s="10" t="s">
        <v>254</v>
      </c>
      <c r="B282" s="226" t="s">
        <v>92</v>
      </c>
      <c r="C282" s="10"/>
      <c r="D282" s="14"/>
      <c r="E282" s="155"/>
      <c r="F282" s="10"/>
      <c r="G282" s="17"/>
      <c r="H282" s="10"/>
      <c r="I282" s="17"/>
      <c r="J282" s="82"/>
      <c r="K282" s="340"/>
      <c r="L282" s="344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>
      <c r="A283" s="10" t="s">
        <v>254</v>
      </c>
      <c r="B283" s="226" t="s">
        <v>92</v>
      </c>
      <c r="C283" s="10"/>
      <c r="D283" s="14"/>
      <c r="E283" s="155"/>
      <c r="F283" s="10"/>
      <c r="G283" s="17"/>
      <c r="H283" s="10"/>
      <c r="I283" s="17"/>
      <c r="J283" s="82"/>
      <c r="K283" s="340"/>
      <c r="L283" s="344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>
      <c r="A284" s="10" t="s">
        <v>254</v>
      </c>
      <c r="B284" s="226" t="s">
        <v>92</v>
      </c>
      <c r="C284" s="10"/>
      <c r="D284" s="14"/>
      <c r="E284" s="155"/>
      <c r="F284" s="10"/>
      <c r="G284" s="17"/>
      <c r="H284" s="10"/>
      <c r="I284" s="17"/>
      <c r="J284" s="82"/>
      <c r="K284" s="340"/>
      <c r="L284" s="344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>
      <c r="A285" s="10" t="s">
        <v>254</v>
      </c>
      <c r="B285" s="226" t="s">
        <v>92</v>
      </c>
      <c r="C285" s="10"/>
      <c r="D285" s="14"/>
      <c r="E285" s="155"/>
      <c r="F285" s="10"/>
      <c r="G285" s="17"/>
      <c r="H285" s="10"/>
      <c r="I285" s="17"/>
      <c r="J285" s="82"/>
      <c r="K285" s="340"/>
      <c r="L285" s="344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P/C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>
      <c r="A286" s="10" t="s">
        <v>254</v>
      </c>
      <c r="B286" s="226" t="s">
        <v>92</v>
      </c>
      <c r="C286" s="10"/>
      <c r="D286" s="14"/>
      <c r="E286" s="155"/>
      <c r="F286" s="10"/>
      <c r="G286" s="17"/>
      <c r="H286" s="10"/>
      <c r="I286" s="17"/>
      <c r="J286" s="82"/>
      <c r="K286" s="340"/>
      <c r="L286" s="344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160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>
      <c r="A287" s="10" t="s">
        <v>254</v>
      </c>
      <c r="B287" s="226" t="s">
        <v>92</v>
      </c>
      <c r="C287" s="10"/>
      <c r="D287" s="14"/>
      <c r="E287" s="155"/>
      <c r="F287" s="10"/>
      <c r="G287" s="17"/>
      <c r="H287" s="10"/>
      <c r="I287" s="17"/>
      <c r="J287" s="82"/>
      <c r="K287" s="340"/>
      <c r="L287" s="344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>
      <c r="A288" s="10" t="s">
        <v>254</v>
      </c>
      <c r="B288" s="226" t="s">
        <v>92</v>
      </c>
      <c r="C288" s="10"/>
      <c r="D288" s="14"/>
      <c r="E288" s="155"/>
      <c r="F288" s="10"/>
      <c r="G288" s="17"/>
      <c r="H288" s="10"/>
      <c r="I288" s="17"/>
      <c r="J288" s="82"/>
      <c r="K288" s="340"/>
      <c r="L288" s="344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>
      <c r="A289" s="10" t="s">
        <v>254</v>
      </c>
      <c r="B289" s="226" t="s">
        <v>92</v>
      </c>
      <c r="C289" s="10"/>
      <c r="D289" s="14"/>
      <c r="E289" s="155"/>
      <c r="F289" s="10"/>
      <c r="G289" s="17"/>
      <c r="H289" s="10"/>
      <c r="I289" s="17"/>
      <c r="J289" s="82"/>
      <c r="K289" s="340"/>
      <c r="L289" s="344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>
      <c r="A290" s="10" t="s">
        <v>254</v>
      </c>
      <c r="B290" s="226" t="s">
        <v>92</v>
      </c>
      <c r="C290" s="10"/>
      <c r="D290" s="14"/>
      <c r="E290" s="155"/>
      <c r="F290" s="10"/>
      <c r="G290" s="17"/>
      <c r="H290" s="10"/>
      <c r="I290" s="17"/>
      <c r="J290" s="82"/>
      <c r="K290" s="340"/>
      <c r="L290" s="344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16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>
      <c r="A291" s="10" t="s">
        <v>254</v>
      </c>
      <c r="B291" s="226" t="s">
        <v>92</v>
      </c>
      <c r="C291" s="10"/>
      <c r="D291" s="14"/>
      <c r="E291" s="155"/>
      <c r="F291" s="10"/>
      <c r="G291" s="17"/>
      <c r="H291" s="10"/>
      <c r="I291" s="17"/>
      <c r="J291" s="82"/>
      <c r="K291" s="340"/>
      <c r="L291" s="344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>
      <c r="A292" s="10" t="s">
        <v>254</v>
      </c>
      <c r="B292" s="226" t="s">
        <v>92</v>
      </c>
      <c r="C292" s="10"/>
      <c r="D292" s="14"/>
      <c r="E292" s="155"/>
      <c r="F292" s="10"/>
      <c r="G292" s="17"/>
      <c r="H292" s="10"/>
      <c r="I292" s="17"/>
      <c r="J292" s="82"/>
      <c r="K292" s="340"/>
      <c r="L292" s="344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4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>
      <c r="A293" s="10" t="s">
        <v>254</v>
      </c>
      <c r="B293" s="226" t="s">
        <v>92</v>
      </c>
      <c r="C293" s="10"/>
      <c r="D293" s="14"/>
      <c r="E293" s="155"/>
      <c r="F293" s="10"/>
      <c r="G293" s="17"/>
      <c r="H293" s="10"/>
      <c r="I293" s="17"/>
      <c r="J293" s="82"/>
      <c r="K293" s="340"/>
      <c r="L293" s="344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16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>
      <c r="A294" s="10" t="s">
        <v>254</v>
      </c>
      <c r="B294" s="226" t="s">
        <v>92</v>
      </c>
      <c r="C294" s="10"/>
      <c r="D294" s="14"/>
      <c r="E294" s="155"/>
      <c r="F294" s="10"/>
      <c r="G294" s="17"/>
      <c r="H294" s="10"/>
      <c r="I294" s="17"/>
      <c r="J294" s="82"/>
      <c r="K294" s="340"/>
      <c r="L294" s="344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3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>
      <c r="A295" s="17" t="s">
        <v>254</v>
      </c>
      <c r="B295" s="227" t="s">
        <v>92</v>
      </c>
      <c r="C295" s="17"/>
      <c r="D295" s="18"/>
      <c r="E295" s="235"/>
      <c r="F295" s="17"/>
      <c r="G295" s="17"/>
      <c r="H295" s="10"/>
      <c r="I295" s="17"/>
      <c r="J295" s="82"/>
      <c r="K295" s="340"/>
      <c r="L295" s="344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3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>
      <c r="A296" s="10" t="s">
        <v>254</v>
      </c>
      <c r="B296" s="226" t="s">
        <v>14</v>
      </c>
      <c r="C296" s="10" t="s">
        <v>107</v>
      </c>
      <c r="D296" s="14"/>
      <c r="E296" s="155"/>
      <c r="F296" s="11"/>
      <c r="G296" s="17"/>
      <c r="H296" s="10"/>
      <c r="I296" s="17"/>
      <c r="J296" s="82"/>
      <c r="K296" s="341">
        <v>0.52204600000000001</v>
      </c>
      <c r="L296" s="344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24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>
      <c r="A297" s="10" t="s">
        <v>254</v>
      </c>
      <c r="B297" s="226" t="s">
        <v>14</v>
      </c>
      <c r="C297" s="10" t="s">
        <v>97</v>
      </c>
      <c r="D297" s="14"/>
      <c r="E297" s="155"/>
      <c r="F297" s="11"/>
      <c r="G297" s="17"/>
      <c r="H297" s="10"/>
      <c r="I297" s="17"/>
      <c r="J297" s="82"/>
      <c r="K297" s="340"/>
      <c r="L297" s="344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24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>
      <c r="A298" s="10"/>
      <c r="B298" s="226"/>
      <c r="C298" s="10"/>
      <c r="D298" s="14"/>
      <c r="E298" s="155"/>
      <c r="F298" s="10"/>
      <c r="G298" s="17"/>
      <c r="H298" s="10"/>
      <c r="I298" s="17"/>
      <c r="J298" s="82"/>
      <c r="K298" s="340"/>
      <c r="L298" s="344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>
      <c r="A299" s="10"/>
      <c r="B299" s="226"/>
      <c r="C299" s="10"/>
      <c r="D299" s="14"/>
      <c r="E299" s="155"/>
      <c r="F299" s="10"/>
      <c r="G299" s="17"/>
      <c r="H299" s="10"/>
      <c r="I299" s="17"/>
      <c r="J299" s="82"/>
      <c r="K299" s="340"/>
      <c r="L299" s="344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>
      <c r="A300" s="10"/>
      <c r="B300" s="226"/>
      <c r="C300" s="10"/>
      <c r="D300" s="14"/>
      <c r="E300" s="155"/>
      <c r="F300" s="10"/>
      <c r="G300" s="17"/>
      <c r="H300" s="10"/>
      <c r="I300" s="17"/>
      <c r="J300" s="82"/>
      <c r="K300" s="340"/>
      <c r="L300" s="344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>
      <c r="A301" s="10"/>
      <c r="B301" s="226"/>
      <c r="C301" s="10"/>
      <c r="D301" s="14"/>
      <c r="E301" s="155"/>
      <c r="F301" s="10"/>
      <c r="G301" s="17"/>
      <c r="H301" s="10"/>
      <c r="I301" s="17"/>
      <c r="J301" s="82"/>
      <c r="K301" s="340"/>
      <c r="L301" s="344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>
      <c r="A302" s="10"/>
      <c r="B302" s="226"/>
      <c r="C302" s="10"/>
      <c r="D302" s="14"/>
      <c r="E302" s="155"/>
      <c r="F302" s="10"/>
      <c r="G302" s="17"/>
      <c r="H302" s="10"/>
      <c r="I302" s="17"/>
      <c r="J302" s="82"/>
      <c r="K302" s="340"/>
      <c r="L302" s="344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>
      <c r="A303" s="10"/>
      <c r="B303" s="226"/>
      <c r="C303" s="10"/>
      <c r="D303" s="14"/>
      <c r="E303" s="155"/>
      <c r="F303" s="10"/>
      <c r="G303" s="17"/>
      <c r="H303" s="10"/>
      <c r="I303" s="17"/>
      <c r="J303" s="82"/>
      <c r="K303" s="340"/>
      <c r="L303" s="344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>
      <c r="A304" s="10"/>
      <c r="B304" s="226"/>
      <c r="C304" s="10"/>
      <c r="D304" s="14"/>
      <c r="E304" s="155"/>
      <c r="F304" s="10"/>
      <c r="G304" s="17"/>
      <c r="H304" s="10"/>
      <c r="I304" s="17"/>
      <c r="J304" s="82"/>
      <c r="K304" s="340"/>
      <c r="L304" s="344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>
      <c r="A305" s="10"/>
      <c r="B305" s="226"/>
      <c r="C305" s="10"/>
      <c r="D305" s="14"/>
      <c r="E305" s="155"/>
      <c r="F305" s="10"/>
      <c r="G305" s="17"/>
      <c r="H305" s="10"/>
      <c r="I305" s="17"/>
      <c r="J305" s="82"/>
      <c r="K305" s="340"/>
      <c r="L305" s="344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>
      <c r="A306" s="10"/>
      <c r="B306" s="226"/>
      <c r="C306" s="10"/>
      <c r="D306" s="14"/>
      <c r="E306" s="155"/>
      <c r="F306" s="10"/>
      <c r="G306" s="17"/>
      <c r="H306" s="10"/>
      <c r="I306" s="17"/>
      <c r="J306" s="82"/>
      <c r="K306" s="340"/>
      <c r="L306" s="344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>
      <c r="A307" s="10"/>
      <c r="B307" s="226"/>
      <c r="C307" s="10"/>
      <c r="D307" s="14"/>
      <c r="E307" s="155"/>
      <c r="F307" s="10"/>
      <c r="G307" s="17"/>
      <c r="H307" s="10"/>
      <c r="I307" s="17"/>
      <c r="J307" s="82"/>
      <c r="K307" s="340"/>
      <c r="L307" s="344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>
      <c r="A308" s="10"/>
      <c r="B308" s="226"/>
      <c r="C308" s="10"/>
      <c r="D308" s="14"/>
      <c r="E308" s="155"/>
      <c r="F308" s="10"/>
      <c r="G308" s="17"/>
      <c r="H308" s="10"/>
      <c r="I308" s="17"/>
      <c r="J308" s="82"/>
      <c r="K308" s="340"/>
      <c r="L308" s="344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>
      <c r="A309" s="10"/>
      <c r="B309" s="226"/>
      <c r="C309" s="10"/>
      <c r="D309" s="14"/>
      <c r="E309" s="155"/>
      <c r="F309" s="10"/>
      <c r="G309" s="17"/>
      <c r="H309" s="10"/>
      <c r="I309" s="17"/>
      <c r="J309" s="82"/>
      <c r="K309" s="340"/>
      <c r="L309" s="344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>
      <c r="A310" s="10"/>
      <c r="B310" s="226"/>
      <c r="C310" s="10"/>
      <c r="D310" s="14"/>
      <c r="E310" s="155"/>
      <c r="F310" s="10"/>
      <c r="G310" s="17"/>
      <c r="H310" s="10"/>
      <c r="I310" s="17"/>
      <c r="J310" s="82"/>
      <c r="K310" s="340"/>
      <c r="L310" s="344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>
      <c r="A311" s="10"/>
      <c r="B311" s="226"/>
      <c r="C311" s="10"/>
      <c r="D311" s="14"/>
      <c r="E311" s="155"/>
      <c r="F311" s="10"/>
      <c r="G311" s="17"/>
      <c r="H311" s="10"/>
      <c r="I311" s="17"/>
      <c r="J311" s="82"/>
      <c r="K311" s="340"/>
      <c r="L311" s="344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>
      <c r="A312" s="10"/>
      <c r="B312" s="226"/>
      <c r="C312" s="10"/>
      <c r="D312" s="14"/>
      <c r="E312" s="155"/>
      <c r="F312" s="10"/>
      <c r="G312" s="17"/>
      <c r="H312" s="10"/>
      <c r="I312" s="17"/>
      <c r="J312" s="82"/>
      <c r="K312" s="340"/>
      <c r="L312" s="344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>
      <c r="A313" s="10"/>
      <c r="B313" s="226"/>
      <c r="C313" s="10"/>
      <c r="D313" s="14"/>
      <c r="E313" s="155"/>
      <c r="F313" s="10"/>
      <c r="G313" s="17"/>
      <c r="H313" s="10"/>
      <c r="I313" s="17"/>
      <c r="J313" s="82"/>
      <c r="K313" s="340"/>
      <c r="L313" s="344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>
      <c r="A314" s="10"/>
      <c r="B314" s="226"/>
      <c r="C314" s="10"/>
      <c r="D314" s="14"/>
      <c r="E314" s="155"/>
      <c r="F314" s="10"/>
      <c r="G314" s="17"/>
      <c r="H314" s="10"/>
      <c r="I314" s="17"/>
      <c r="J314" s="82"/>
      <c r="K314" s="340"/>
      <c r="L314" s="344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>
      <c r="A315" s="10"/>
      <c r="B315" s="226"/>
      <c r="C315" s="10"/>
      <c r="D315" s="14"/>
      <c r="E315" s="155"/>
      <c r="F315" s="10"/>
      <c r="G315" s="17"/>
      <c r="H315" s="10"/>
      <c r="I315" s="17"/>
      <c r="J315" s="82"/>
      <c r="K315" s="340"/>
      <c r="L315" s="344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>
      <c r="A316" s="10"/>
      <c r="B316" s="226"/>
      <c r="C316" s="10"/>
      <c r="D316" s="14"/>
      <c r="E316" s="155"/>
      <c r="F316" s="10"/>
      <c r="G316" s="17"/>
      <c r="H316" s="10"/>
      <c r="I316" s="17"/>
      <c r="J316" s="82"/>
      <c r="K316" s="340"/>
      <c r="L316" s="344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>
      <c r="A317" s="10"/>
      <c r="B317" s="226"/>
      <c r="C317" s="10"/>
      <c r="D317" s="14"/>
      <c r="E317" s="155"/>
      <c r="F317" s="10"/>
      <c r="G317" s="17"/>
      <c r="H317" s="10"/>
      <c r="I317" s="17"/>
      <c r="J317" s="82"/>
      <c r="K317" s="340"/>
      <c r="L317" s="344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>
      <c r="A318" s="10"/>
      <c r="B318" s="226"/>
      <c r="C318" s="10"/>
      <c r="D318" s="14"/>
      <c r="E318" s="155"/>
      <c r="F318" s="10"/>
      <c r="G318" s="17"/>
      <c r="H318" s="10"/>
      <c r="I318" s="17"/>
      <c r="J318" s="82"/>
      <c r="K318" s="340"/>
      <c r="L318" s="344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>
      <c r="A319" s="10"/>
      <c r="B319" s="226"/>
      <c r="C319" s="10"/>
      <c r="D319" s="14"/>
      <c r="E319" s="155"/>
      <c r="F319" s="10"/>
      <c r="G319" s="17"/>
      <c r="H319" s="10"/>
      <c r="I319" s="17"/>
      <c r="J319" s="82"/>
      <c r="K319" s="340"/>
      <c r="L319" s="344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>
      <c r="A320" s="10"/>
      <c r="B320" s="226"/>
      <c r="C320" s="10"/>
      <c r="D320" s="14"/>
      <c r="E320" s="155"/>
      <c r="F320" s="10"/>
      <c r="G320" s="17"/>
      <c r="H320" s="10"/>
      <c r="I320" s="17"/>
      <c r="J320" s="82"/>
      <c r="K320" s="340"/>
      <c r="L320" s="344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>
      <c r="A321" s="10"/>
      <c r="B321" s="226"/>
      <c r="C321" s="10"/>
      <c r="D321" s="14"/>
      <c r="E321" s="155"/>
      <c r="F321" s="10"/>
      <c r="G321" s="17"/>
      <c r="H321" s="10"/>
      <c r="I321" s="17"/>
      <c r="J321" s="82"/>
      <c r="K321" s="340"/>
      <c r="L321" s="344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>
      <c r="A322" s="10"/>
      <c r="B322" s="226"/>
      <c r="C322" s="10"/>
      <c r="D322" s="14"/>
      <c r="E322" s="155"/>
      <c r="F322" s="10"/>
      <c r="G322" s="17"/>
      <c r="H322" s="10"/>
      <c r="I322" s="17"/>
      <c r="J322" s="82"/>
      <c r="K322" s="340"/>
      <c r="L322" s="344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>
      <c r="A323" s="10"/>
      <c r="B323" s="226"/>
      <c r="C323" s="10"/>
      <c r="D323" s="14"/>
      <c r="E323" s="155"/>
      <c r="F323" s="10"/>
      <c r="G323" s="17"/>
      <c r="H323" s="10"/>
      <c r="I323" s="17"/>
      <c r="J323" s="82"/>
      <c r="K323" s="340"/>
      <c r="L323" s="344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>
      <c r="A324" s="10"/>
      <c r="B324" s="226"/>
      <c r="C324" s="10"/>
      <c r="D324" s="14"/>
      <c r="E324" s="155"/>
      <c r="F324" s="10"/>
      <c r="G324" s="17"/>
      <c r="H324" s="10"/>
      <c r="I324" s="17"/>
      <c r="J324" s="82"/>
      <c r="K324" s="340"/>
      <c r="L324" s="344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>
      <c r="A325" s="10"/>
      <c r="B325" s="226"/>
      <c r="C325" s="10"/>
      <c r="D325" s="14"/>
      <c r="E325" s="155"/>
      <c r="F325" s="10"/>
      <c r="G325" s="17"/>
      <c r="H325" s="10"/>
      <c r="I325" s="17"/>
      <c r="J325" s="82"/>
      <c r="K325" s="340"/>
      <c r="L325" s="344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>
      <c r="A326" s="10"/>
      <c r="B326" s="226"/>
      <c r="C326" s="10"/>
      <c r="D326" s="14"/>
      <c r="E326" s="155"/>
      <c r="F326" s="10"/>
      <c r="G326" s="17"/>
      <c r="H326" s="10"/>
      <c r="I326" s="17"/>
      <c r="J326" s="82"/>
      <c r="K326" s="340"/>
      <c r="L326" s="344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>
      <c r="A327" s="10"/>
      <c r="B327" s="226"/>
      <c r="C327" s="10"/>
      <c r="D327" s="14"/>
      <c r="E327" s="155"/>
      <c r="F327" s="10"/>
      <c r="G327" s="17"/>
      <c r="H327" s="10"/>
      <c r="I327" s="17"/>
      <c r="J327" s="82"/>
      <c r="K327" s="340"/>
      <c r="L327" s="344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>
      <c r="A328" s="10"/>
      <c r="B328" s="226"/>
      <c r="C328" s="10"/>
      <c r="D328" s="14"/>
      <c r="E328" s="155"/>
      <c r="F328" s="10"/>
      <c r="G328" s="17"/>
      <c r="H328" s="10"/>
      <c r="I328" s="17"/>
      <c r="J328" s="82"/>
      <c r="K328" s="340"/>
      <c r="L328" s="344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>
      <c r="A329" s="10"/>
      <c r="B329" s="226"/>
      <c r="C329" s="10"/>
      <c r="D329" s="14"/>
      <c r="E329" s="155"/>
      <c r="F329" s="10"/>
      <c r="G329" s="17"/>
      <c r="H329" s="10"/>
      <c r="I329" s="17"/>
      <c r="J329" s="82"/>
      <c r="K329" s="340"/>
      <c r="L329" s="344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>
      <c r="A330" s="10"/>
      <c r="B330" s="226"/>
      <c r="C330" s="10"/>
      <c r="D330" s="14"/>
      <c r="E330" s="155"/>
      <c r="F330" s="10"/>
      <c r="G330" s="17"/>
      <c r="H330" s="10"/>
      <c r="I330" s="17"/>
      <c r="J330" s="82"/>
      <c r="K330" s="340"/>
      <c r="L330" s="344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>
      <c r="A331" s="10"/>
      <c r="B331" s="226"/>
      <c r="C331" s="10"/>
      <c r="D331" s="14"/>
      <c r="E331" s="155"/>
      <c r="F331" s="10"/>
      <c r="G331" s="17"/>
      <c r="H331" s="10"/>
      <c r="I331" s="17"/>
      <c r="J331" s="82"/>
      <c r="K331" s="340"/>
      <c r="L331" s="344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>
      <c r="A332" s="10"/>
      <c r="B332" s="226"/>
      <c r="C332" s="10"/>
      <c r="D332" s="14"/>
      <c r="E332" s="155"/>
      <c r="F332" s="10"/>
      <c r="G332" s="17"/>
      <c r="H332" s="10"/>
      <c r="I332" s="17"/>
      <c r="J332" s="82"/>
      <c r="K332" s="340"/>
      <c r="L332" s="344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>
      <c r="A333" s="10"/>
      <c r="B333" s="226"/>
      <c r="C333" s="10"/>
      <c r="D333" s="14"/>
      <c r="E333" s="155"/>
      <c r="F333" s="10"/>
      <c r="G333" s="17"/>
      <c r="H333" s="10"/>
      <c r="I333" s="17"/>
      <c r="J333" s="82"/>
      <c r="K333" s="340"/>
      <c r="L333" s="344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>
      <c r="A334" s="10"/>
      <c r="B334" s="226"/>
      <c r="C334" s="10"/>
      <c r="D334" s="14"/>
      <c r="E334" s="155"/>
      <c r="F334" s="10"/>
      <c r="G334" s="17"/>
      <c r="H334" s="10"/>
      <c r="I334" s="17"/>
      <c r="J334" s="82"/>
      <c r="K334" s="340"/>
      <c r="L334" s="344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>
      <c r="A335" s="10"/>
      <c r="B335" s="226"/>
      <c r="C335" s="10"/>
      <c r="D335" s="14"/>
      <c r="E335" s="155"/>
      <c r="F335" s="10"/>
      <c r="G335" s="17"/>
      <c r="H335" s="10"/>
      <c r="I335" s="17"/>
      <c r="J335" s="82"/>
      <c r="K335" s="340"/>
      <c r="L335" s="344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>
      <c r="A336" s="10"/>
      <c r="B336" s="226"/>
      <c r="C336" s="10"/>
      <c r="D336" s="14"/>
      <c r="E336" s="155"/>
      <c r="F336" s="10"/>
      <c r="G336" s="17"/>
      <c r="H336" s="10"/>
      <c r="I336" s="17"/>
      <c r="J336" s="82"/>
      <c r="K336" s="340"/>
      <c r="L336" s="344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>
      <c r="A337" s="10"/>
      <c r="B337" s="226"/>
      <c r="C337" s="10"/>
      <c r="D337" s="14"/>
      <c r="E337" s="155"/>
      <c r="F337" s="10"/>
      <c r="G337" s="17"/>
      <c r="H337" s="10"/>
      <c r="I337" s="17"/>
      <c r="J337" s="82"/>
      <c r="K337" s="340"/>
      <c r="L337" s="344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>
      <c r="A338" s="10"/>
      <c r="B338" s="226"/>
      <c r="C338" s="10"/>
      <c r="D338" s="14"/>
      <c r="E338" s="155"/>
      <c r="F338" s="10"/>
      <c r="G338" s="17"/>
      <c r="H338" s="10"/>
      <c r="I338" s="17"/>
      <c r="J338" s="82"/>
      <c r="K338" s="340"/>
      <c r="L338" s="344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>
      <c r="A339" s="10"/>
      <c r="B339" s="226"/>
      <c r="C339" s="10"/>
      <c r="D339" s="14"/>
      <c r="E339" s="155"/>
      <c r="F339" s="10"/>
      <c r="G339" s="17"/>
      <c r="H339" s="10"/>
      <c r="I339" s="17"/>
      <c r="J339" s="82"/>
      <c r="K339" s="340"/>
      <c r="L339" s="344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>
      <c r="A340" s="10"/>
      <c r="B340" s="226"/>
      <c r="C340" s="10"/>
      <c r="D340" s="14"/>
      <c r="E340" s="155"/>
      <c r="F340" s="10"/>
      <c r="G340" s="17"/>
      <c r="H340" s="10"/>
      <c r="I340" s="17"/>
      <c r="J340" s="82"/>
      <c r="K340" s="340"/>
      <c r="L340" s="344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>
      <c r="A341" s="10"/>
      <c r="B341" s="226"/>
      <c r="C341" s="10"/>
      <c r="D341" s="14"/>
      <c r="E341" s="155"/>
      <c r="F341" s="10"/>
      <c r="G341" s="17"/>
      <c r="H341" s="10"/>
      <c r="I341" s="17"/>
      <c r="J341" s="82"/>
      <c r="K341" s="340"/>
      <c r="L341" s="344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>
      <c r="A342" s="10"/>
      <c r="B342" s="226"/>
      <c r="C342" s="10"/>
      <c r="D342" s="14"/>
      <c r="E342" s="155"/>
      <c r="F342" s="10"/>
      <c r="G342" s="17"/>
      <c r="H342" s="10"/>
      <c r="I342" s="17"/>
      <c r="J342" s="82"/>
      <c r="K342" s="340"/>
      <c r="L342" s="344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>
      <c r="A343" s="10" t="s">
        <v>254</v>
      </c>
      <c r="B343" s="226" t="s">
        <v>14</v>
      </c>
      <c r="C343" s="10"/>
      <c r="D343" s="14"/>
      <c r="E343" s="155"/>
      <c r="F343" s="10"/>
      <c r="G343" s="17"/>
      <c r="H343" s="10"/>
      <c r="I343" s="17"/>
      <c r="J343" s="82"/>
      <c r="K343" s="340"/>
      <c r="L343" s="344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32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>
      <c r="A344" s="17" t="s">
        <v>254</v>
      </c>
      <c r="B344" s="227" t="s">
        <v>14</v>
      </c>
      <c r="C344" s="17"/>
      <c r="D344" s="18"/>
      <c r="E344" s="235"/>
      <c r="F344" s="17"/>
      <c r="G344" s="17"/>
      <c r="H344" s="10"/>
      <c r="I344" s="17"/>
      <c r="J344" s="82"/>
      <c r="K344" s="340"/>
      <c r="L344" s="344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>
      <c r="A345" s="10" t="s">
        <v>254</v>
      </c>
      <c r="B345" s="226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5" t="s">
        <v>257</v>
      </c>
      <c r="F345" s="14" t="s">
        <v>352</v>
      </c>
      <c r="G345" s="17" t="s">
        <v>932</v>
      </c>
      <c r="H345" s="10"/>
      <c r="I345" s="17"/>
      <c r="J345" s="82"/>
      <c r="K345" s="341">
        <v>0.52</v>
      </c>
      <c r="L345" s="344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32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>
      <c r="A346" s="10" t="s">
        <v>254</v>
      </c>
      <c r="B346" s="226" t="s">
        <v>231</v>
      </c>
      <c r="C346" s="10" t="s">
        <v>107</v>
      </c>
      <c r="D346" s="14" t="str">
        <v>Black Aluminium Mesh 1.6mm</v>
      </c>
      <c r="E346" s="155" t="s">
        <v>269</v>
      </c>
      <c r="F346" s="14"/>
      <c r="G346" s="17"/>
      <c r="H346" s="10"/>
      <c r="I346" s="17"/>
      <c r="J346" s="82"/>
      <c r="K346" s="340"/>
      <c r="L346" s="344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8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>
      <c r="A347" s="10" t="s">
        <v>254</v>
      </c>
      <c r="B347" s="226" t="s">
        <v>231</v>
      </c>
      <c r="C347" s="10" t="s">
        <v>107</v>
      </c>
      <c r="D347" s="14" t="str">
        <v>Black Aluminium Mesh 1.8mm</v>
      </c>
      <c r="E347" s="155"/>
      <c r="F347" s="10"/>
      <c r="G347" s="17"/>
      <c r="H347" s="10"/>
      <c r="I347" s="17"/>
      <c r="J347" s="82"/>
      <c r="K347" s="340"/>
      <c r="L347" s="344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24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>
      <c r="A348" s="10" t="s">
        <v>254</v>
      </c>
      <c r="B348" s="226" t="s">
        <v>231</v>
      </c>
      <c r="C348" s="10" t="s">
        <v>107</v>
      </c>
      <c r="D348" s="14" t="str">
        <v>Black Stainless Steel Mesh 1.0mm</v>
      </c>
      <c r="E348" s="155"/>
      <c r="F348" s="10"/>
      <c r="G348" s="17"/>
      <c r="H348" s="10"/>
      <c r="I348" s="17"/>
      <c r="J348" s="82"/>
      <c r="K348" s="340"/>
      <c r="L348" s="344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>
      <c r="A349" s="10" t="s">
        <v>254</v>
      </c>
      <c r="B349" s="226" t="s">
        <v>231</v>
      </c>
      <c r="C349" s="10" t="s">
        <v>107</v>
      </c>
      <c r="D349" s="14" t="str">
        <v/>
      </c>
      <c r="E349" s="155"/>
      <c r="F349" s="10"/>
      <c r="G349" s="17"/>
      <c r="H349" s="10"/>
      <c r="I349" s="17"/>
      <c r="J349" s="82"/>
      <c r="K349" s="340"/>
      <c r="L349" s="344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Breezway 102mm Glass Infill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>
      <c r="A350" s="10" t="s">
        <v>254</v>
      </c>
      <c r="B350" s="226" t="s">
        <v>231</v>
      </c>
      <c r="C350" s="10" t="s">
        <v>107</v>
      </c>
      <c r="D350" s="14" t="str">
        <v/>
      </c>
      <c r="E350" s="155"/>
      <c r="F350" s="10"/>
      <c r="G350" s="17"/>
      <c r="H350" s="10"/>
      <c r="I350" s="17"/>
      <c r="J350" s="82"/>
      <c r="K350" s="340"/>
      <c r="L350" s="344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>
      <c r="A351" s="10" t="s">
        <v>254</v>
      </c>
      <c r="B351" s="226" t="s">
        <v>231</v>
      </c>
      <c r="C351" s="10" t="s">
        <v>107</v>
      </c>
      <c r="D351" s="14" t="str">
        <v/>
      </c>
      <c r="E351" s="155"/>
      <c r="F351" s="10"/>
      <c r="G351" s="17"/>
      <c r="H351" s="10"/>
      <c r="I351" s="17"/>
      <c r="J351" s="82"/>
      <c r="K351" s="340"/>
      <c r="L351" s="344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>
      <c r="A352" s="10" t="s">
        <v>254</v>
      </c>
      <c r="B352" s="226" t="s">
        <v>231</v>
      </c>
      <c r="C352" s="10" t="s">
        <v>107</v>
      </c>
      <c r="D352" s="14" t="str">
        <v/>
      </c>
      <c r="E352" s="155"/>
      <c r="F352" s="10"/>
      <c r="G352" s="17"/>
      <c r="H352" s="10"/>
      <c r="I352" s="17"/>
      <c r="J352" s="82"/>
      <c r="K352" s="340"/>
      <c r="L352" s="344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>
      <c r="A353" s="10" t="s">
        <v>254</v>
      </c>
      <c r="B353" s="226" t="s">
        <v>231</v>
      </c>
      <c r="C353" s="10"/>
      <c r="D353" s="14" t="str">
        <v/>
      </c>
      <c r="E353" s="155"/>
      <c r="F353" s="10"/>
      <c r="G353" s="17"/>
      <c r="H353" s="10"/>
      <c r="I353" s="17"/>
      <c r="J353" s="82"/>
      <c r="K353" s="340"/>
      <c r="L353" s="344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>
      <c r="A354" s="10" t="s">
        <v>254</v>
      </c>
      <c r="B354" s="226" t="s">
        <v>231</v>
      </c>
      <c r="C354" s="10"/>
      <c r="D354" s="14" t="str">
        <v/>
      </c>
      <c r="E354" s="155"/>
      <c r="F354" s="10"/>
      <c r="G354" s="17"/>
      <c r="H354" s="10"/>
      <c r="I354" s="17"/>
      <c r="J354" s="82"/>
      <c r="K354" s="340"/>
      <c r="L354" s="344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>
      <c r="A355" s="10" t="s">
        <v>254</v>
      </c>
      <c r="B355" s="226" t="s">
        <v>231</v>
      </c>
      <c r="C355" s="10" t="s">
        <v>97</v>
      </c>
      <c r="D355" s="14"/>
      <c r="E355" s="155"/>
      <c r="F355" s="10"/>
      <c r="G355" s="17"/>
      <c r="H355" s="10"/>
      <c r="I355" s="17"/>
      <c r="J355" s="82"/>
      <c r="K355" s="340"/>
      <c r="L355" s="344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32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>
      <c r="A356" s="10" t="s">
        <v>254</v>
      </c>
      <c r="B356" s="226" t="s">
        <v>231</v>
      </c>
      <c r="C356" s="10" t="s">
        <v>97</v>
      </c>
      <c r="D356" s="14"/>
      <c r="E356" s="155"/>
      <c r="F356" s="10"/>
      <c r="G356" s="17"/>
      <c r="H356" s="10"/>
      <c r="I356" s="17"/>
      <c r="J356" s="82"/>
      <c r="K356" s="340"/>
      <c r="L356" s="344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8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>
      <c r="A357" s="10" t="s">
        <v>254</v>
      </c>
      <c r="B357" s="226" t="s">
        <v>231</v>
      </c>
      <c r="C357" s="10" t="s">
        <v>97</v>
      </c>
      <c r="D357" s="14"/>
      <c r="E357" s="155"/>
      <c r="F357" s="10"/>
      <c r="G357" s="17"/>
      <c r="H357" s="10"/>
      <c r="I357" s="17"/>
      <c r="J357" s="82"/>
      <c r="K357" s="340"/>
      <c r="L357" s="344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24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>
      <c r="A358" s="10" t="s">
        <v>254</v>
      </c>
      <c r="B358" s="226" t="s">
        <v>231</v>
      </c>
      <c r="C358" s="10" t="s">
        <v>97</v>
      </c>
      <c r="D358" s="14"/>
      <c r="E358" s="155" t="s">
        <v>257</v>
      </c>
      <c r="F358" s="10"/>
      <c r="G358" s="17"/>
      <c r="H358" s="10"/>
      <c r="I358" s="17"/>
      <c r="J358" s="82"/>
      <c r="K358" s="340"/>
      <c r="L358" s="344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>
      <c r="A359" s="10" t="s">
        <v>254</v>
      </c>
      <c r="B359" s="226" t="s">
        <v>231</v>
      </c>
      <c r="C359" s="10" t="s">
        <v>97</v>
      </c>
      <c r="D359" s="14"/>
      <c r="E359" s="155" t="s">
        <v>269</v>
      </c>
      <c r="F359" s="10" t="s">
        <v>352</v>
      </c>
      <c r="G359" s="17"/>
      <c r="H359" s="10"/>
      <c r="I359" s="17"/>
      <c r="J359" s="82"/>
      <c r="K359" s="340"/>
      <c r="L359" s="344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Breezway 102mm Glass Infill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>
      <c r="A360" s="10" t="s">
        <v>254</v>
      </c>
      <c r="B360" s="226" t="s">
        <v>231</v>
      </c>
      <c r="C360" s="10" t="s">
        <v>97</v>
      </c>
      <c r="D360" s="14"/>
      <c r="E360" s="155"/>
      <c r="F360" s="10"/>
      <c r="G360" s="17"/>
      <c r="H360" s="10"/>
      <c r="I360" s="17"/>
      <c r="J360" s="82"/>
      <c r="K360" s="340"/>
      <c r="L360" s="344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>
      <c r="A361" s="10" t="s">
        <v>254</v>
      </c>
      <c r="B361" s="226" t="s">
        <v>231</v>
      </c>
      <c r="C361" s="10" t="s">
        <v>97</v>
      </c>
      <c r="D361" s="14"/>
      <c r="E361" s="155"/>
      <c r="F361" s="10"/>
      <c r="G361" s="17" t="s">
        <v>932</v>
      </c>
      <c r="H361" s="10"/>
      <c r="I361" s="17"/>
      <c r="J361" s="82"/>
      <c r="K361" s="341">
        <v>0.52</v>
      </c>
      <c r="L361" s="344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>
      <c r="A362" s="10" t="s">
        <v>254</v>
      </c>
      <c r="B362" s="226" t="s">
        <v>231</v>
      </c>
      <c r="C362" s="10"/>
      <c r="D362" s="14"/>
      <c r="E362" s="155"/>
      <c r="F362" s="10"/>
      <c r="G362" s="17"/>
      <c r="H362" s="10"/>
      <c r="I362" s="17"/>
      <c r="J362" s="82"/>
      <c r="K362" s="340"/>
      <c r="L362" s="344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>
      <c r="A363" s="10" t="s">
        <v>254</v>
      </c>
      <c r="B363" s="226" t="s">
        <v>231</v>
      </c>
      <c r="C363" s="10"/>
      <c r="D363" s="14"/>
      <c r="E363" s="155"/>
      <c r="F363" s="10"/>
      <c r="G363" s="17"/>
      <c r="H363" s="10"/>
      <c r="I363" s="17"/>
      <c r="J363" s="82"/>
      <c r="K363" s="340"/>
      <c r="L363" s="344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>
      <c r="A364" s="10" t="s">
        <v>254</v>
      </c>
      <c r="B364" s="226" t="s">
        <v>231</v>
      </c>
      <c r="C364" s="10"/>
      <c r="D364" s="14"/>
      <c r="E364" s="155"/>
      <c r="F364" s="10"/>
      <c r="G364" s="17"/>
      <c r="H364" s="10"/>
      <c r="I364" s="17"/>
      <c r="J364" s="82"/>
      <c r="K364" s="340"/>
      <c r="L364" s="344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>
      <c r="A365" s="10" t="s">
        <v>254</v>
      </c>
      <c r="B365" s="226" t="s">
        <v>231</v>
      </c>
      <c r="C365" s="10"/>
      <c r="D365" s="14"/>
      <c r="E365" s="155"/>
      <c r="F365" s="10"/>
      <c r="G365" s="17"/>
      <c r="H365" s="10"/>
      <c r="I365" s="17"/>
      <c r="J365" s="82"/>
      <c r="K365" s="340"/>
      <c r="L365" s="344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>
      <c r="A366" s="10" t="s">
        <v>254</v>
      </c>
      <c r="B366" s="226" t="s">
        <v>231</v>
      </c>
      <c r="C366" s="10"/>
      <c r="D366" s="14"/>
      <c r="E366" s="155"/>
      <c r="F366" s="10"/>
      <c r="G366" s="17"/>
      <c r="H366" s="10"/>
      <c r="I366" s="17"/>
      <c r="J366" s="82"/>
      <c r="K366" s="340"/>
      <c r="L366" s="344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>
      <c r="A367" s="10" t="s">
        <v>254</v>
      </c>
      <c r="B367" s="226" t="s">
        <v>231</v>
      </c>
      <c r="C367" s="10"/>
      <c r="D367" s="14"/>
      <c r="E367" s="155"/>
      <c r="F367" s="10"/>
      <c r="G367" s="17"/>
      <c r="H367" s="10"/>
      <c r="I367" s="17"/>
      <c r="J367" s="82"/>
      <c r="K367" s="340"/>
      <c r="L367" s="344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>
      <c r="A368" s="10" t="s">
        <v>254</v>
      </c>
      <c r="B368" s="226" t="s">
        <v>231</v>
      </c>
      <c r="C368" s="10"/>
      <c r="D368" s="14"/>
      <c r="E368" s="155"/>
      <c r="F368" s="10"/>
      <c r="G368" s="17"/>
      <c r="H368" s="10"/>
      <c r="I368" s="17"/>
      <c r="J368" s="82"/>
      <c r="K368" s="340"/>
      <c r="L368" s="344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>
      <c r="A369" s="10" t="s">
        <v>254</v>
      </c>
      <c r="B369" s="226" t="s">
        <v>231</v>
      </c>
      <c r="C369" s="10"/>
      <c r="D369" s="14"/>
      <c r="E369" s="155"/>
      <c r="F369" s="10"/>
      <c r="G369" s="17"/>
      <c r="H369" s="10"/>
      <c r="I369" s="17"/>
      <c r="J369" s="82"/>
      <c r="K369" s="340"/>
      <c r="L369" s="344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>
      <c r="A370" s="10" t="s">
        <v>254</v>
      </c>
      <c r="B370" s="226" t="s">
        <v>231</v>
      </c>
      <c r="C370" s="10"/>
      <c r="D370" s="14"/>
      <c r="E370" s="155"/>
      <c r="F370" s="10"/>
      <c r="G370" s="17"/>
      <c r="H370" s="10"/>
      <c r="I370" s="17"/>
      <c r="J370" s="82"/>
      <c r="K370" s="340"/>
      <c r="L370" s="344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>
      <c r="A371" s="10" t="s">
        <v>254</v>
      </c>
      <c r="B371" s="226" t="s">
        <v>231</v>
      </c>
      <c r="C371" s="10"/>
      <c r="D371" s="14"/>
      <c r="E371" s="155"/>
      <c r="F371" s="10"/>
      <c r="G371" s="17"/>
      <c r="H371" s="10"/>
      <c r="I371" s="17"/>
      <c r="J371" s="82"/>
      <c r="K371" s="340"/>
      <c r="L371" s="344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>
      <c r="A372" s="10" t="s">
        <v>254</v>
      </c>
      <c r="B372" s="226" t="s">
        <v>231</v>
      </c>
      <c r="C372" s="10"/>
      <c r="D372" s="14"/>
      <c r="E372" s="155"/>
      <c r="F372" s="10"/>
      <c r="G372" s="17"/>
      <c r="H372" s="10"/>
      <c r="I372" s="17"/>
      <c r="J372" s="82"/>
      <c r="K372" s="340"/>
      <c r="L372" s="344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>
      <c r="A373" s="10" t="s">
        <v>254</v>
      </c>
      <c r="B373" s="226" t="s">
        <v>231</v>
      </c>
      <c r="C373" s="10"/>
      <c r="D373" s="14"/>
      <c r="E373" s="155"/>
      <c r="F373" s="10"/>
      <c r="G373" s="17"/>
      <c r="H373" s="10"/>
      <c r="I373" s="17"/>
      <c r="J373" s="82"/>
      <c r="K373" s="340"/>
      <c r="L373" s="344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>
      <c r="A374" s="10" t="s">
        <v>254</v>
      </c>
      <c r="B374" s="226" t="s">
        <v>231</v>
      </c>
      <c r="C374" s="10"/>
      <c r="D374" s="14"/>
      <c r="E374" s="155"/>
      <c r="F374" s="10"/>
      <c r="G374" s="17"/>
      <c r="H374" s="10"/>
      <c r="I374" s="17"/>
      <c r="J374" s="82"/>
      <c r="K374" s="340"/>
      <c r="L374" s="344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>
      <c r="A375" s="10" t="s">
        <v>254</v>
      </c>
      <c r="B375" s="226" t="s">
        <v>231</v>
      </c>
      <c r="C375" s="10"/>
      <c r="D375" s="14"/>
      <c r="E375" s="155"/>
      <c r="F375" s="10"/>
      <c r="G375" s="17"/>
      <c r="H375" s="10"/>
      <c r="I375" s="17"/>
      <c r="J375" s="82"/>
      <c r="K375" s="340"/>
      <c r="L375" s="344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>
      <c r="A376" s="10" t="s">
        <v>254</v>
      </c>
      <c r="B376" s="226" t="s">
        <v>231</v>
      </c>
      <c r="C376" s="10"/>
      <c r="D376" s="14"/>
      <c r="E376" s="155"/>
      <c r="F376" s="10"/>
      <c r="G376" s="17"/>
      <c r="H376" s="10"/>
      <c r="I376" s="17"/>
      <c r="J376" s="82"/>
      <c r="K376" s="340"/>
      <c r="L376" s="344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>
      <c r="A377" s="10" t="s">
        <v>254</v>
      </c>
      <c r="B377" s="226" t="s">
        <v>231</v>
      </c>
      <c r="C377" s="10"/>
      <c r="D377" s="14"/>
      <c r="E377" s="155"/>
      <c r="F377" s="10"/>
      <c r="G377" s="17"/>
      <c r="H377" s="10"/>
      <c r="I377" s="17"/>
      <c r="J377" s="82"/>
      <c r="K377" s="340"/>
      <c r="L377" s="344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>
      <c r="A378" s="10" t="s">
        <v>254</v>
      </c>
      <c r="B378" s="226" t="s">
        <v>231</v>
      </c>
      <c r="C378" s="10"/>
      <c r="D378" s="14"/>
      <c r="E378" s="155"/>
      <c r="F378" s="10"/>
      <c r="G378" s="17"/>
      <c r="H378" s="10"/>
      <c r="I378" s="17"/>
      <c r="J378" s="82"/>
      <c r="K378" s="340"/>
      <c r="L378" s="344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>
      <c r="A379" s="10" t="s">
        <v>254</v>
      </c>
      <c r="B379" s="226" t="s">
        <v>231</v>
      </c>
      <c r="C379" s="10"/>
      <c r="D379" s="14"/>
      <c r="E379" s="155"/>
      <c r="F379" s="10"/>
      <c r="G379" s="17"/>
      <c r="H379" s="10"/>
      <c r="I379" s="17"/>
      <c r="J379" s="82"/>
      <c r="K379" s="340"/>
      <c r="L379" s="344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>
      <c r="A380" s="10" t="s">
        <v>254</v>
      </c>
      <c r="B380" s="226" t="s">
        <v>231</v>
      </c>
      <c r="C380" s="10"/>
      <c r="D380" s="14"/>
      <c r="E380" s="155"/>
      <c r="F380" s="10"/>
      <c r="G380" s="17"/>
      <c r="H380" s="10"/>
      <c r="I380" s="17"/>
      <c r="J380" s="82"/>
      <c r="K380" s="340"/>
      <c r="L380" s="344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>
      <c r="A381" s="10" t="s">
        <v>254</v>
      </c>
      <c r="B381" s="226" t="s">
        <v>231</v>
      </c>
      <c r="C381" s="10"/>
      <c r="D381" s="14"/>
      <c r="E381" s="155"/>
      <c r="F381" s="10"/>
      <c r="G381" s="17"/>
      <c r="H381" s="10"/>
      <c r="I381" s="17"/>
      <c r="J381" s="82"/>
      <c r="K381" s="340"/>
      <c r="L381" s="344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>
      <c r="A382" s="10" t="s">
        <v>254</v>
      </c>
      <c r="B382" s="226" t="s">
        <v>231</v>
      </c>
      <c r="C382" s="10"/>
      <c r="D382" s="14"/>
      <c r="E382" s="155"/>
      <c r="F382" s="10"/>
      <c r="G382" s="17"/>
      <c r="H382" s="10"/>
      <c r="I382" s="17"/>
      <c r="J382" s="82"/>
      <c r="K382" s="340"/>
      <c r="L382" s="344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>
      <c r="A383" s="10" t="s">
        <v>254</v>
      </c>
      <c r="B383" s="226" t="s">
        <v>231</v>
      </c>
      <c r="C383" s="10"/>
      <c r="D383" s="14"/>
      <c r="E383" s="155"/>
      <c r="F383" s="10"/>
      <c r="G383" s="17"/>
      <c r="H383" s="10"/>
      <c r="I383" s="17"/>
      <c r="J383" s="82"/>
      <c r="K383" s="340"/>
      <c r="L383" s="344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>
      <c r="A384" s="10" t="s">
        <v>254</v>
      </c>
      <c r="B384" s="226" t="s">
        <v>231</v>
      </c>
      <c r="C384" s="10"/>
      <c r="D384" s="14"/>
      <c r="E384" s="155"/>
      <c r="F384" s="10"/>
      <c r="G384" s="17"/>
      <c r="H384" s="10"/>
      <c r="I384" s="17"/>
      <c r="J384" s="82"/>
      <c r="K384" s="340"/>
      <c r="L384" s="344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>
      <c r="A385" s="10" t="s">
        <v>254</v>
      </c>
      <c r="B385" s="226" t="s">
        <v>231</v>
      </c>
      <c r="C385" s="10"/>
      <c r="D385" s="14"/>
      <c r="E385" s="155"/>
      <c r="F385" s="10"/>
      <c r="G385" s="17"/>
      <c r="H385" s="10"/>
      <c r="I385" s="17"/>
      <c r="J385" s="82"/>
      <c r="K385" s="340"/>
      <c r="L385" s="344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>
      <c r="A386" s="10" t="s">
        <v>254</v>
      </c>
      <c r="B386" s="226" t="s">
        <v>231</v>
      </c>
      <c r="C386" s="10"/>
      <c r="D386" s="14"/>
      <c r="E386" s="155"/>
      <c r="F386" s="10"/>
      <c r="G386" s="17"/>
      <c r="H386" s="10"/>
      <c r="I386" s="17"/>
      <c r="J386" s="82"/>
      <c r="K386" s="340"/>
      <c r="L386" s="344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>
      <c r="A387" s="10" t="s">
        <v>254</v>
      </c>
      <c r="B387" s="226" t="s">
        <v>231</v>
      </c>
      <c r="C387" s="10"/>
      <c r="D387" s="14"/>
      <c r="E387" s="155"/>
      <c r="F387" s="10"/>
      <c r="G387" s="17"/>
      <c r="H387" s="10"/>
      <c r="I387" s="17"/>
      <c r="J387" s="82"/>
      <c r="K387" s="340"/>
      <c r="L387" s="344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>
      <c r="A388" s="10" t="s">
        <v>254</v>
      </c>
      <c r="B388" s="226" t="s">
        <v>231</v>
      </c>
      <c r="C388" s="10"/>
      <c r="D388" s="14"/>
      <c r="E388" s="155"/>
      <c r="F388" s="10"/>
      <c r="G388" s="17"/>
      <c r="H388" s="10"/>
      <c r="I388" s="17"/>
      <c r="J388" s="82"/>
      <c r="K388" s="340"/>
      <c r="L388" s="344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>
      <c r="A389" s="10" t="s">
        <v>254</v>
      </c>
      <c r="B389" s="226" t="s">
        <v>231</v>
      </c>
      <c r="C389" s="10"/>
      <c r="D389" s="14"/>
      <c r="E389" s="155"/>
      <c r="F389" s="10"/>
      <c r="G389" s="17"/>
      <c r="H389" s="10"/>
      <c r="I389" s="17"/>
      <c r="J389" s="82"/>
      <c r="K389" s="340"/>
      <c r="L389" s="344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P/C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>
      <c r="A390" s="10" t="s">
        <v>254</v>
      </c>
      <c r="B390" s="226" t="s">
        <v>231</v>
      </c>
      <c r="C390" s="10"/>
      <c r="D390" s="14"/>
      <c r="E390" s="155"/>
      <c r="F390" s="10"/>
      <c r="G390" s="17"/>
      <c r="H390" s="10"/>
      <c r="I390" s="17"/>
      <c r="J390" s="82"/>
      <c r="K390" s="340"/>
      <c r="L390" s="344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160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>
      <c r="A391" s="10" t="s">
        <v>254</v>
      </c>
      <c r="B391" s="226" t="s">
        <v>231</v>
      </c>
      <c r="C391" s="10"/>
      <c r="D391" s="14"/>
      <c r="E391" s="155"/>
      <c r="F391" s="10"/>
      <c r="G391" s="17"/>
      <c r="H391" s="10"/>
      <c r="I391" s="17"/>
      <c r="J391" s="82"/>
      <c r="K391" s="340"/>
      <c r="L391" s="344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>
      <c r="A392" s="10" t="s">
        <v>254</v>
      </c>
      <c r="B392" s="226" t="s">
        <v>231</v>
      </c>
      <c r="C392" s="10"/>
      <c r="D392" s="14"/>
      <c r="E392" s="155"/>
      <c r="F392" s="10"/>
      <c r="G392" s="17"/>
      <c r="H392" s="10"/>
      <c r="I392" s="17"/>
      <c r="J392" s="82"/>
      <c r="K392" s="340"/>
      <c r="L392" s="344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>
      <c r="A393" s="17" t="s">
        <v>254</v>
      </c>
      <c r="B393" s="227" t="s">
        <v>231</v>
      </c>
      <c r="C393" s="17"/>
      <c r="D393" s="18"/>
      <c r="E393" s="235"/>
      <c r="F393" s="17"/>
      <c r="G393" s="17"/>
      <c r="H393" s="10"/>
      <c r="I393" s="17"/>
      <c r="J393" s="82"/>
      <c r="K393" s="340"/>
      <c r="L393" s="344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>
      <c r="A394" s="10" t="s">
        <v>254</v>
      </c>
      <c r="B394" s="226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5" t="s">
        <v>257</v>
      </c>
      <c r="F394" s="14" t="s">
        <v>352</v>
      </c>
      <c r="G394" s="17" t="s">
        <v>934</v>
      </c>
      <c r="H394" s="10"/>
      <c r="I394" s="17"/>
      <c r="J394" s="82"/>
      <c r="K394" s="341">
        <v>0.52</v>
      </c>
      <c r="L394" s="344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32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>
      <c r="A395" s="10" t="s">
        <v>254</v>
      </c>
      <c r="B395" s="226" t="s">
        <v>232</v>
      </c>
      <c r="C395" s="10" t="s">
        <v>107</v>
      </c>
      <c r="D395" s="14" t="str">
        <v>Black Aluminium Mesh 1.6mm</v>
      </c>
      <c r="E395" s="155" t="s">
        <v>269</v>
      </c>
      <c r="F395" s="14"/>
      <c r="G395" s="17"/>
      <c r="H395" s="10"/>
      <c r="I395" s="17"/>
      <c r="J395" s="82"/>
      <c r="K395" s="340"/>
      <c r="L395" s="344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8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>
      <c r="A396" s="10" t="s">
        <v>254</v>
      </c>
      <c r="B396" s="226" t="s">
        <v>232</v>
      </c>
      <c r="C396" s="10" t="s">
        <v>107</v>
      </c>
      <c r="D396" s="14" t="str">
        <v>Black Aluminium Mesh 1.8mm</v>
      </c>
      <c r="E396" s="155"/>
      <c r="F396" s="10"/>
      <c r="G396" s="17"/>
      <c r="H396" s="10"/>
      <c r="I396" s="17"/>
      <c r="J396" s="82"/>
      <c r="K396" s="340"/>
      <c r="L396" s="344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24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>
      <c r="A397" s="10" t="s">
        <v>254</v>
      </c>
      <c r="B397" s="226" t="s">
        <v>232</v>
      </c>
      <c r="C397" s="10" t="s">
        <v>107</v>
      </c>
      <c r="D397" s="14" t="str">
        <v>Black Stainless Steel Mesh 1.0mm</v>
      </c>
      <c r="E397" s="155"/>
      <c r="F397" s="10"/>
      <c r="G397" s="17"/>
      <c r="H397" s="10"/>
      <c r="I397" s="17"/>
      <c r="J397" s="82"/>
      <c r="K397" s="340"/>
      <c r="L397" s="344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>
      <c r="A398" s="10" t="s">
        <v>254</v>
      </c>
      <c r="B398" s="226" t="s">
        <v>232</v>
      </c>
      <c r="C398" s="10" t="s">
        <v>107</v>
      </c>
      <c r="D398" s="14" t="str">
        <v/>
      </c>
      <c r="E398" s="155"/>
      <c r="F398" s="10"/>
      <c r="G398" s="17"/>
      <c r="H398" s="10"/>
      <c r="I398" s="17"/>
      <c r="J398" s="82"/>
      <c r="K398" s="340"/>
      <c r="L398" s="344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Breezway 102mm Glass Infill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>
      <c r="A399" s="10" t="s">
        <v>254</v>
      </c>
      <c r="B399" s="226" t="s">
        <v>232</v>
      </c>
      <c r="C399" s="10" t="s">
        <v>107</v>
      </c>
      <c r="D399" s="14" t="str">
        <v/>
      </c>
      <c r="E399" s="155"/>
      <c r="F399" s="10"/>
      <c r="G399" s="17"/>
      <c r="H399" s="10"/>
      <c r="I399" s="17"/>
      <c r="J399" s="82"/>
      <c r="K399" s="340"/>
      <c r="L399" s="344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>
      <c r="A400" s="10" t="s">
        <v>254</v>
      </c>
      <c r="B400" s="226" t="s">
        <v>232</v>
      </c>
      <c r="C400" s="10" t="s">
        <v>107</v>
      </c>
      <c r="D400" s="14" t="str">
        <v/>
      </c>
      <c r="E400" s="155"/>
      <c r="F400" s="10"/>
      <c r="G400" s="17"/>
      <c r="H400" s="10"/>
      <c r="I400" s="17"/>
      <c r="J400" s="82"/>
      <c r="K400" s="340"/>
      <c r="L400" s="344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>
      <c r="A401" s="10" t="s">
        <v>254</v>
      </c>
      <c r="B401" s="226" t="s">
        <v>232</v>
      </c>
      <c r="C401" s="10" t="s">
        <v>107</v>
      </c>
      <c r="D401" s="14" t="str">
        <v/>
      </c>
      <c r="E401" s="155"/>
      <c r="F401" s="10"/>
      <c r="G401" s="17"/>
      <c r="H401" s="10"/>
      <c r="I401" s="17"/>
      <c r="J401" s="82"/>
      <c r="K401" s="340"/>
      <c r="L401" s="344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>
      <c r="A402" s="10" t="s">
        <v>254</v>
      </c>
      <c r="B402" s="226" t="s">
        <v>232</v>
      </c>
      <c r="C402" s="10"/>
      <c r="D402" s="14" t="str">
        <v/>
      </c>
      <c r="E402" s="155"/>
      <c r="F402" s="10"/>
      <c r="G402" s="17"/>
      <c r="H402" s="10"/>
      <c r="I402" s="17"/>
      <c r="J402" s="82"/>
      <c r="K402" s="340"/>
      <c r="L402" s="344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>
      <c r="A403" s="10" t="s">
        <v>254</v>
      </c>
      <c r="B403" s="226" t="s">
        <v>232</v>
      </c>
      <c r="C403" s="10"/>
      <c r="D403" s="14" t="str">
        <v/>
      </c>
      <c r="E403" s="155"/>
      <c r="F403" s="10"/>
      <c r="G403" s="17"/>
      <c r="H403" s="10"/>
      <c r="I403" s="17"/>
      <c r="J403" s="82"/>
      <c r="K403" s="340"/>
      <c r="L403" s="344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>
      <c r="A404" s="10" t="s">
        <v>254</v>
      </c>
      <c r="B404" s="226" t="s">
        <v>232</v>
      </c>
      <c r="C404" s="10" t="s">
        <v>97</v>
      </c>
      <c r="D404" s="14"/>
      <c r="E404" s="155"/>
      <c r="F404" s="10"/>
      <c r="G404" s="17"/>
      <c r="H404" s="10"/>
      <c r="I404" s="17"/>
      <c r="J404" s="82"/>
      <c r="K404" s="340"/>
      <c r="L404" s="344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32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>
      <c r="A405" s="10" t="s">
        <v>254</v>
      </c>
      <c r="B405" s="226" t="s">
        <v>232</v>
      </c>
      <c r="C405" s="10" t="s">
        <v>97</v>
      </c>
      <c r="D405" s="14"/>
      <c r="E405" s="155"/>
      <c r="F405" s="10"/>
      <c r="G405" s="17"/>
      <c r="H405" s="10"/>
      <c r="I405" s="17"/>
      <c r="J405" s="82"/>
      <c r="K405" s="340"/>
      <c r="L405" s="344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8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>
      <c r="A406" s="10" t="s">
        <v>254</v>
      </c>
      <c r="B406" s="226" t="s">
        <v>232</v>
      </c>
      <c r="C406" s="10" t="s">
        <v>97</v>
      </c>
      <c r="D406" s="14"/>
      <c r="E406" s="155"/>
      <c r="F406" s="10"/>
      <c r="G406" s="17"/>
      <c r="H406" s="10"/>
      <c r="I406" s="17"/>
      <c r="J406" s="82"/>
      <c r="K406" s="340"/>
      <c r="L406" s="344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24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>
      <c r="A407" s="10" t="s">
        <v>254</v>
      </c>
      <c r="B407" s="226" t="s">
        <v>232</v>
      </c>
      <c r="C407" s="10" t="s">
        <v>97</v>
      </c>
      <c r="D407" s="14"/>
      <c r="E407" s="155" t="s">
        <v>257</v>
      </c>
      <c r="F407" s="10"/>
      <c r="G407" s="17"/>
      <c r="H407" s="10"/>
      <c r="I407" s="17"/>
      <c r="J407" s="82"/>
      <c r="K407" s="340"/>
      <c r="L407" s="344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>
      <c r="A408" s="10" t="s">
        <v>254</v>
      </c>
      <c r="B408" s="226" t="s">
        <v>232</v>
      </c>
      <c r="C408" s="10" t="s">
        <v>97</v>
      </c>
      <c r="D408" s="14"/>
      <c r="E408" s="155" t="s">
        <v>269</v>
      </c>
      <c r="F408" s="10" t="s">
        <v>352</v>
      </c>
      <c r="G408" s="17"/>
      <c r="H408" s="10"/>
      <c r="I408" s="17"/>
      <c r="J408" s="82"/>
      <c r="K408" s="340"/>
      <c r="L408" s="344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Breezway 102mm Glass Infill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>
      <c r="A409" s="10" t="s">
        <v>254</v>
      </c>
      <c r="B409" s="226" t="s">
        <v>232</v>
      </c>
      <c r="C409" s="10" t="s">
        <v>97</v>
      </c>
      <c r="D409" s="14"/>
      <c r="E409" s="155"/>
      <c r="F409" s="10"/>
      <c r="G409" s="17"/>
      <c r="H409" s="10"/>
      <c r="I409" s="17"/>
      <c r="J409" s="82"/>
      <c r="K409" s="340"/>
      <c r="L409" s="344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>
      <c r="A410" s="10" t="s">
        <v>254</v>
      </c>
      <c r="B410" s="226" t="s">
        <v>232</v>
      </c>
      <c r="C410" s="10" t="s">
        <v>97</v>
      </c>
      <c r="D410" s="14"/>
      <c r="E410" s="155"/>
      <c r="F410" s="10"/>
      <c r="G410" s="17" t="s">
        <v>934</v>
      </c>
      <c r="H410" s="10"/>
      <c r="I410" s="17"/>
      <c r="J410" s="82"/>
      <c r="K410" s="340"/>
      <c r="L410" s="344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>
      <c r="A411" s="10" t="s">
        <v>254</v>
      </c>
      <c r="B411" s="226" t="s">
        <v>232</v>
      </c>
      <c r="C411" s="10"/>
      <c r="D411" s="14"/>
      <c r="E411" s="155"/>
      <c r="F411" s="10"/>
      <c r="G411" s="17"/>
      <c r="H411" s="10"/>
      <c r="I411" s="17"/>
      <c r="J411" s="82"/>
      <c r="K411" s="340"/>
      <c r="L411" s="344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>
      <c r="A412" s="10" t="s">
        <v>254</v>
      </c>
      <c r="B412" s="226" t="s">
        <v>232</v>
      </c>
      <c r="C412" s="10"/>
      <c r="D412" s="14"/>
      <c r="E412" s="155"/>
      <c r="F412" s="10"/>
      <c r="G412" s="17"/>
      <c r="H412" s="10"/>
      <c r="I412" s="17"/>
      <c r="J412" s="82"/>
      <c r="K412" s="340"/>
      <c r="L412" s="344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>
      <c r="A413" s="10" t="s">
        <v>254</v>
      </c>
      <c r="B413" s="226" t="s">
        <v>232</v>
      </c>
      <c r="C413" s="10"/>
      <c r="D413" s="14"/>
      <c r="E413" s="155"/>
      <c r="F413" s="10"/>
      <c r="G413" s="17"/>
      <c r="H413" s="10"/>
      <c r="I413" s="17"/>
      <c r="J413" s="82"/>
      <c r="K413" s="340"/>
      <c r="L413" s="344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>
      <c r="A414" s="10" t="s">
        <v>254</v>
      </c>
      <c r="B414" s="226" t="s">
        <v>232</v>
      </c>
      <c r="C414" s="10"/>
      <c r="D414" s="14"/>
      <c r="E414" s="155"/>
      <c r="F414" s="10"/>
      <c r="G414" s="17"/>
      <c r="H414" s="10"/>
      <c r="I414" s="17"/>
      <c r="J414" s="82"/>
      <c r="K414" s="340"/>
      <c r="L414" s="344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>
      <c r="A415" s="10" t="s">
        <v>254</v>
      </c>
      <c r="B415" s="226" t="s">
        <v>232</v>
      </c>
      <c r="C415" s="10"/>
      <c r="D415" s="14"/>
      <c r="E415" s="155"/>
      <c r="F415" s="10"/>
      <c r="G415" s="17"/>
      <c r="H415" s="10"/>
      <c r="I415" s="17"/>
      <c r="J415" s="82"/>
      <c r="K415" s="340"/>
      <c r="L415" s="344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>
      <c r="A416" s="10" t="s">
        <v>254</v>
      </c>
      <c r="B416" s="226" t="s">
        <v>232</v>
      </c>
      <c r="C416" s="10"/>
      <c r="D416" s="14"/>
      <c r="E416" s="155"/>
      <c r="F416" s="10"/>
      <c r="G416" s="17"/>
      <c r="H416" s="10"/>
      <c r="I416" s="17"/>
      <c r="J416" s="82"/>
      <c r="K416" s="340"/>
      <c r="L416" s="344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>
      <c r="A417" s="10" t="s">
        <v>254</v>
      </c>
      <c r="B417" s="226" t="s">
        <v>232</v>
      </c>
      <c r="C417" s="10"/>
      <c r="D417" s="14"/>
      <c r="E417" s="155"/>
      <c r="F417" s="10"/>
      <c r="G417" s="17"/>
      <c r="H417" s="10"/>
      <c r="I417" s="17"/>
      <c r="J417" s="82"/>
      <c r="K417" s="340"/>
      <c r="L417" s="344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>
      <c r="A418" s="10" t="s">
        <v>254</v>
      </c>
      <c r="B418" s="226" t="s">
        <v>232</v>
      </c>
      <c r="C418" s="10"/>
      <c r="D418" s="14"/>
      <c r="E418" s="155"/>
      <c r="F418" s="10"/>
      <c r="G418" s="17"/>
      <c r="H418" s="10"/>
      <c r="I418" s="17"/>
      <c r="J418" s="82"/>
      <c r="K418" s="340"/>
      <c r="L418" s="344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>
      <c r="A419" s="10" t="s">
        <v>254</v>
      </c>
      <c r="B419" s="226" t="s">
        <v>232</v>
      </c>
      <c r="C419" s="10"/>
      <c r="D419" s="14"/>
      <c r="E419" s="155"/>
      <c r="F419" s="10"/>
      <c r="G419" s="17"/>
      <c r="H419" s="10"/>
      <c r="I419" s="17"/>
      <c r="J419" s="82"/>
      <c r="K419" s="340"/>
      <c r="L419" s="344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>
      <c r="A420" s="10" t="s">
        <v>254</v>
      </c>
      <c r="B420" s="226" t="s">
        <v>232</v>
      </c>
      <c r="C420" s="10"/>
      <c r="D420" s="14"/>
      <c r="E420" s="155"/>
      <c r="F420" s="10"/>
      <c r="G420" s="17"/>
      <c r="H420" s="10"/>
      <c r="I420" s="17"/>
      <c r="J420" s="82"/>
      <c r="K420" s="340"/>
      <c r="L420" s="344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>
      <c r="A421" s="10" t="s">
        <v>254</v>
      </c>
      <c r="B421" s="226" t="s">
        <v>232</v>
      </c>
      <c r="C421" s="10"/>
      <c r="D421" s="14"/>
      <c r="E421" s="155"/>
      <c r="F421" s="10"/>
      <c r="G421" s="17"/>
      <c r="H421" s="10"/>
      <c r="I421" s="17"/>
      <c r="J421" s="82"/>
      <c r="K421" s="340"/>
      <c r="L421" s="344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>
      <c r="A422" s="10" t="s">
        <v>254</v>
      </c>
      <c r="B422" s="226" t="s">
        <v>232</v>
      </c>
      <c r="C422" s="10"/>
      <c r="D422" s="14"/>
      <c r="E422" s="155"/>
      <c r="F422" s="10"/>
      <c r="G422" s="17"/>
      <c r="H422" s="10"/>
      <c r="I422" s="17"/>
      <c r="J422" s="82"/>
      <c r="K422" s="340"/>
      <c r="L422" s="344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>
      <c r="A423" s="10" t="s">
        <v>254</v>
      </c>
      <c r="B423" s="226" t="s">
        <v>232</v>
      </c>
      <c r="C423" s="10"/>
      <c r="D423" s="14"/>
      <c r="E423" s="155"/>
      <c r="F423" s="10"/>
      <c r="G423" s="17"/>
      <c r="H423" s="10"/>
      <c r="I423" s="17"/>
      <c r="J423" s="82"/>
      <c r="K423" s="340"/>
      <c r="L423" s="344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>
      <c r="A424" s="10" t="s">
        <v>254</v>
      </c>
      <c r="B424" s="226" t="s">
        <v>232</v>
      </c>
      <c r="C424" s="10"/>
      <c r="D424" s="14"/>
      <c r="E424" s="155"/>
      <c r="F424" s="10"/>
      <c r="G424" s="17"/>
      <c r="H424" s="10"/>
      <c r="I424" s="17"/>
      <c r="J424" s="82"/>
      <c r="K424" s="340"/>
      <c r="L424" s="344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>
      <c r="A425" s="10" t="s">
        <v>254</v>
      </c>
      <c r="B425" s="226" t="s">
        <v>232</v>
      </c>
      <c r="C425" s="10"/>
      <c r="D425" s="14"/>
      <c r="E425" s="155"/>
      <c r="F425" s="10"/>
      <c r="G425" s="17"/>
      <c r="H425" s="10"/>
      <c r="I425" s="17"/>
      <c r="J425" s="82"/>
      <c r="K425" s="340"/>
      <c r="L425" s="344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>
      <c r="A426" s="10" t="s">
        <v>254</v>
      </c>
      <c r="B426" s="226" t="s">
        <v>232</v>
      </c>
      <c r="C426" s="10"/>
      <c r="D426" s="14"/>
      <c r="E426" s="155"/>
      <c r="F426" s="10"/>
      <c r="G426" s="17"/>
      <c r="H426" s="10"/>
      <c r="I426" s="17"/>
      <c r="J426" s="82"/>
      <c r="K426" s="340"/>
      <c r="L426" s="344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>
      <c r="A427" s="10" t="s">
        <v>254</v>
      </c>
      <c r="B427" s="226" t="s">
        <v>232</v>
      </c>
      <c r="C427" s="10"/>
      <c r="D427" s="14"/>
      <c r="E427" s="155"/>
      <c r="F427" s="10"/>
      <c r="G427" s="17"/>
      <c r="H427" s="10"/>
      <c r="I427" s="17"/>
      <c r="J427" s="82"/>
      <c r="K427" s="340"/>
      <c r="L427" s="344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>
      <c r="A428" s="10" t="s">
        <v>254</v>
      </c>
      <c r="B428" s="226" t="s">
        <v>232</v>
      </c>
      <c r="C428" s="10"/>
      <c r="D428" s="14"/>
      <c r="E428" s="155"/>
      <c r="F428" s="10"/>
      <c r="G428" s="17"/>
      <c r="H428" s="10"/>
      <c r="I428" s="17"/>
      <c r="J428" s="82"/>
      <c r="K428" s="340"/>
      <c r="L428" s="344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>
      <c r="A429" s="10" t="s">
        <v>254</v>
      </c>
      <c r="B429" s="226" t="s">
        <v>232</v>
      </c>
      <c r="C429" s="10"/>
      <c r="D429" s="14"/>
      <c r="E429" s="155"/>
      <c r="F429" s="10"/>
      <c r="G429" s="17"/>
      <c r="H429" s="10"/>
      <c r="I429" s="17"/>
      <c r="J429" s="82"/>
      <c r="K429" s="340"/>
      <c r="L429" s="344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>
      <c r="A430" s="10" t="s">
        <v>254</v>
      </c>
      <c r="B430" s="226" t="s">
        <v>232</v>
      </c>
      <c r="C430" s="10"/>
      <c r="D430" s="14"/>
      <c r="E430" s="155"/>
      <c r="F430" s="10"/>
      <c r="G430" s="17"/>
      <c r="H430" s="10"/>
      <c r="I430" s="17"/>
      <c r="J430" s="82"/>
      <c r="K430" s="340"/>
      <c r="L430" s="344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>
      <c r="A431" s="10" t="s">
        <v>254</v>
      </c>
      <c r="B431" s="226" t="s">
        <v>232</v>
      </c>
      <c r="C431" s="10"/>
      <c r="D431" s="14"/>
      <c r="E431" s="155"/>
      <c r="F431" s="10"/>
      <c r="G431" s="17"/>
      <c r="H431" s="10"/>
      <c r="I431" s="17"/>
      <c r="J431" s="82"/>
      <c r="K431" s="340"/>
      <c r="L431" s="344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>
      <c r="A432" s="10" t="s">
        <v>254</v>
      </c>
      <c r="B432" s="226" t="s">
        <v>232</v>
      </c>
      <c r="C432" s="10"/>
      <c r="D432" s="14"/>
      <c r="E432" s="155"/>
      <c r="F432" s="10"/>
      <c r="G432" s="17"/>
      <c r="H432" s="10"/>
      <c r="I432" s="17"/>
      <c r="J432" s="82"/>
      <c r="K432" s="340"/>
      <c r="L432" s="344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>
      <c r="A433" s="10" t="s">
        <v>254</v>
      </c>
      <c r="B433" s="226" t="s">
        <v>232</v>
      </c>
      <c r="C433" s="10"/>
      <c r="D433" s="14"/>
      <c r="E433" s="155"/>
      <c r="F433" s="10"/>
      <c r="G433" s="17"/>
      <c r="H433" s="10"/>
      <c r="I433" s="17"/>
      <c r="J433" s="82"/>
      <c r="K433" s="340"/>
      <c r="L433" s="344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>
      <c r="A434" s="10" t="s">
        <v>254</v>
      </c>
      <c r="B434" s="226" t="s">
        <v>232</v>
      </c>
      <c r="C434" s="10"/>
      <c r="D434" s="14"/>
      <c r="E434" s="155"/>
      <c r="F434" s="10"/>
      <c r="G434" s="17"/>
      <c r="H434" s="10"/>
      <c r="I434" s="17"/>
      <c r="J434" s="82"/>
      <c r="K434" s="340"/>
      <c r="L434" s="344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>
      <c r="A435" s="10" t="s">
        <v>254</v>
      </c>
      <c r="B435" s="226" t="s">
        <v>232</v>
      </c>
      <c r="C435" s="10"/>
      <c r="D435" s="14"/>
      <c r="E435" s="155"/>
      <c r="F435" s="10"/>
      <c r="G435" s="17"/>
      <c r="H435" s="10"/>
      <c r="I435" s="17"/>
      <c r="J435" s="82"/>
      <c r="K435" s="340"/>
      <c r="L435" s="344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>
      <c r="A436" s="10" t="s">
        <v>254</v>
      </c>
      <c r="B436" s="226" t="s">
        <v>232</v>
      </c>
      <c r="C436" s="10"/>
      <c r="D436" s="14"/>
      <c r="E436" s="155"/>
      <c r="F436" s="10"/>
      <c r="G436" s="17"/>
      <c r="H436" s="10"/>
      <c r="I436" s="17"/>
      <c r="J436" s="82"/>
      <c r="K436" s="340"/>
      <c r="L436" s="344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>
      <c r="A437" s="10" t="s">
        <v>254</v>
      </c>
      <c r="B437" s="226" t="s">
        <v>232</v>
      </c>
      <c r="C437" s="10"/>
      <c r="D437" s="14"/>
      <c r="E437" s="155"/>
      <c r="F437" s="10"/>
      <c r="G437" s="17"/>
      <c r="H437" s="10"/>
      <c r="I437" s="17"/>
      <c r="J437" s="82"/>
      <c r="K437" s="340"/>
      <c r="L437" s="344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>
      <c r="A438" s="10" t="s">
        <v>254</v>
      </c>
      <c r="B438" s="226" t="s">
        <v>232</v>
      </c>
      <c r="C438" s="10"/>
      <c r="D438" s="14"/>
      <c r="E438" s="155"/>
      <c r="F438" s="10"/>
      <c r="G438" s="17"/>
      <c r="H438" s="10"/>
      <c r="I438" s="17"/>
      <c r="J438" s="82"/>
      <c r="K438" s="340"/>
      <c r="L438" s="344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P/C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>
      <c r="A439" s="10" t="s">
        <v>254</v>
      </c>
      <c r="B439" s="226" t="s">
        <v>232</v>
      </c>
      <c r="C439" s="10"/>
      <c r="D439" s="14"/>
      <c r="E439" s="155"/>
      <c r="F439" s="10"/>
      <c r="G439" s="17"/>
      <c r="H439" s="10"/>
      <c r="I439" s="17"/>
      <c r="J439" s="82"/>
      <c r="K439" s="340"/>
      <c r="L439" s="344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160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>
      <c r="A440" s="10" t="s">
        <v>254</v>
      </c>
      <c r="B440" s="226" t="s">
        <v>232</v>
      </c>
      <c r="C440" s="10"/>
      <c r="D440" s="14"/>
      <c r="E440" s="155"/>
      <c r="F440" s="10"/>
      <c r="G440" s="17"/>
      <c r="H440" s="10"/>
      <c r="I440" s="17"/>
      <c r="J440" s="82"/>
      <c r="K440" s="340"/>
      <c r="L440" s="344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>
      <c r="A441" s="10" t="s">
        <v>254</v>
      </c>
      <c r="B441" s="226" t="s">
        <v>232</v>
      </c>
      <c r="C441" s="10"/>
      <c r="D441" s="14"/>
      <c r="E441" s="155"/>
      <c r="F441" s="10"/>
      <c r="G441" s="17"/>
      <c r="H441" s="10"/>
      <c r="I441" s="17"/>
      <c r="J441" s="82"/>
      <c r="K441" s="340"/>
      <c r="L441" s="344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>
      <c r="A442" s="17" t="s">
        <v>254</v>
      </c>
      <c r="B442" s="227" t="s">
        <v>232</v>
      </c>
      <c r="C442" s="17"/>
      <c r="D442" s="18"/>
      <c r="E442" s="235"/>
      <c r="F442" s="17"/>
      <c r="G442" s="17"/>
      <c r="H442" s="10"/>
      <c r="I442" s="17"/>
      <c r="J442" s="82"/>
      <c r="K442" s="340"/>
      <c r="L442" s="344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>
      <c r="A443" s="10" t="s">
        <v>252</v>
      </c>
      <c r="B443" s="226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5"/>
      <c r="F443" s="11"/>
      <c r="G443" s="17"/>
      <c r="H443" s="10"/>
      <c r="I443" s="17"/>
      <c r="J443" s="82"/>
      <c r="K443" s="341">
        <v>0.52</v>
      </c>
      <c r="L443" s="344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40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>
      <c r="A444" s="10" t="s">
        <v>252</v>
      </c>
      <c r="B444" s="226" t="s">
        <v>307</v>
      </c>
      <c r="C444" s="10" t="s">
        <v>173</v>
      </c>
      <c r="D444" s="14" t="str">
        <v>Black Aluminium Mesh 1.6mm</v>
      </c>
      <c r="E444" s="155"/>
      <c r="F444" s="11"/>
      <c r="G444" s="17"/>
      <c r="H444" s="10"/>
      <c r="I444" s="17"/>
      <c r="J444" s="82"/>
      <c r="K444" s="340"/>
      <c r="L444" s="344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>
      <c r="A445" s="10" t="s">
        <v>252</v>
      </c>
      <c r="B445" s="226" t="s">
        <v>307</v>
      </c>
      <c r="C445" s="10" t="s">
        <v>173</v>
      </c>
      <c r="D445" s="14" t="str">
        <v>Black Aluminium Mesh 1.8mm</v>
      </c>
      <c r="E445" s="155"/>
      <c r="F445" s="10"/>
      <c r="G445" s="17"/>
      <c r="H445" s="10"/>
      <c r="I445" s="17"/>
      <c r="J445" s="82"/>
      <c r="K445" s="340"/>
      <c r="L445" s="344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8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>
      <c r="A446" s="10" t="s">
        <v>252</v>
      </c>
      <c r="B446" s="226" t="s">
        <v>307</v>
      </c>
      <c r="C446" s="10" t="s">
        <v>173</v>
      </c>
      <c r="D446" s="14" t="str">
        <v>Black Stainless Steel Mesh 1.0mm</v>
      </c>
      <c r="E446" s="155"/>
      <c r="F446" s="10"/>
      <c r="G446" s="17"/>
      <c r="H446" s="10"/>
      <c r="I446" s="17"/>
      <c r="J446" s="82"/>
      <c r="K446" s="340"/>
      <c r="L446" s="344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8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>
      <c r="A447" s="10" t="s">
        <v>252</v>
      </c>
      <c r="B447" s="226" t="s">
        <v>307</v>
      </c>
      <c r="C447" s="10" t="s">
        <v>173</v>
      </c>
      <c r="D447" s="14" t="str">
        <v/>
      </c>
      <c r="E447" s="155"/>
      <c r="F447" s="10"/>
      <c r="G447" s="17"/>
      <c r="H447" s="10"/>
      <c r="I447" s="17"/>
      <c r="J447" s="82"/>
      <c r="K447" s="340"/>
      <c r="L447" s="344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32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>
      <c r="A448" s="10" t="s">
        <v>252</v>
      </c>
      <c r="B448" s="226" t="s">
        <v>307</v>
      </c>
      <c r="C448" s="10" t="s">
        <v>173</v>
      </c>
      <c r="D448" s="14" t="str">
        <v/>
      </c>
      <c r="E448" s="155"/>
      <c r="F448" s="10"/>
      <c r="G448" s="17"/>
      <c r="H448" s="10"/>
      <c r="I448" s="17"/>
      <c r="J448" s="82"/>
      <c r="K448" s="340"/>
      <c r="L448" s="344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32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>
      <c r="A449" s="10" t="s">
        <v>252</v>
      </c>
      <c r="B449" s="226" t="s">
        <v>307</v>
      </c>
      <c r="C449" s="10" t="s">
        <v>173</v>
      </c>
      <c r="D449" s="14" t="str">
        <v/>
      </c>
      <c r="E449" s="155"/>
      <c r="F449" s="10"/>
      <c r="G449" s="17"/>
      <c r="H449" s="10"/>
      <c r="I449" s="17"/>
      <c r="J449" s="82"/>
      <c r="K449" s="340"/>
      <c r="L449" s="344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64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>
      <c r="A450" s="10" t="s">
        <v>252</v>
      </c>
      <c r="B450" s="226" t="s">
        <v>307</v>
      </c>
      <c r="C450" s="10" t="s">
        <v>173</v>
      </c>
      <c r="D450" s="14" t="str">
        <v/>
      </c>
      <c r="E450" s="155"/>
      <c r="F450" s="10"/>
      <c r="G450" s="17"/>
      <c r="H450" s="10"/>
      <c r="I450" s="17"/>
      <c r="J450" s="82"/>
      <c r="K450" s="340"/>
      <c r="L450" s="344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64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>
      <c r="A451" s="10" t="s">
        <v>252</v>
      </c>
      <c r="B451" s="226" t="s">
        <v>307</v>
      </c>
      <c r="C451" s="10" t="s">
        <v>173</v>
      </c>
      <c r="D451" s="14" t="str">
        <v/>
      </c>
      <c r="E451" s="155"/>
      <c r="F451" s="10"/>
      <c r="G451" s="17"/>
      <c r="H451" s="10"/>
      <c r="I451" s="17"/>
      <c r="J451" s="82"/>
      <c r="K451" s="340"/>
      <c r="L451" s="344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64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>
      <c r="A452" s="10" t="s">
        <v>252</v>
      </c>
      <c r="B452" s="226" t="s">
        <v>307</v>
      </c>
      <c r="C452" s="10" t="s">
        <v>173</v>
      </c>
      <c r="D452" s="14" t="str">
        <v/>
      </c>
      <c r="E452" s="155"/>
      <c r="F452" s="10"/>
      <c r="G452" s="17"/>
      <c r="H452" s="10"/>
      <c r="I452" s="17"/>
      <c r="J452" s="82"/>
      <c r="K452" s="340"/>
      <c r="L452" s="344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64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>
      <c r="A453" s="10" t="s">
        <v>252</v>
      </c>
      <c r="B453" s="226" t="s">
        <v>307</v>
      </c>
      <c r="C453" s="10" t="s">
        <v>173</v>
      </c>
      <c r="D453" s="14"/>
      <c r="E453" s="155"/>
      <c r="F453" s="10"/>
      <c r="G453" s="17"/>
      <c r="H453" s="10"/>
      <c r="I453" s="17"/>
      <c r="J453" s="82"/>
      <c r="K453" s="340"/>
      <c r="L453" s="344"/>
      <c r="M453" s="88">
        <v>11</v>
      </c>
      <c r="N453" s="10" t="s">
        <v>121</v>
      </c>
      <c r="O453" s="22" t="str">
        <f>$O$2</f>
        <v/>
      </c>
      <c r="P453" s="21" t="str">
        <f>Enginuity!$A$19</f>
        <v>P/C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>
      <c r="A454" s="10"/>
      <c r="B454" s="226"/>
      <c r="C454" s="10" t="s">
        <v>173</v>
      </c>
      <c r="D454" s="14"/>
      <c r="E454" s="155"/>
      <c r="F454" s="10"/>
      <c r="G454" s="17"/>
      <c r="H454" s="10"/>
      <c r="I454" s="17"/>
      <c r="J454" s="82"/>
      <c r="K454" s="340"/>
      <c r="L454" s="344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>
      <c r="A455" s="10" t="s">
        <v>252</v>
      </c>
      <c r="B455" s="226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5"/>
      <c r="F455" s="10"/>
      <c r="G455" s="17"/>
      <c r="H455" s="10"/>
      <c r="I455" s="17"/>
      <c r="J455" s="82"/>
      <c r="K455" s="341">
        <v>0.52</v>
      </c>
      <c r="L455" s="344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40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>
      <c r="A456" s="10" t="s">
        <v>252</v>
      </c>
      <c r="B456" s="226" t="s">
        <v>306</v>
      </c>
      <c r="C456" s="10" t="s">
        <v>173</v>
      </c>
      <c r="D456" s="14" t="str">
        <v>Black Aluminium Mesh 1.6mm</v>
      </c>
      <c r="E456" s="155"/>
      <c r="F456" s="10"/>
      <c r="G456" s="17"/>
      <c r="H456" s="10"/>
      <c r="I456" s="17"/>
      <c r="J456" s="82"/>
      <c r="K456" s="340"/>
      <c r="L456" s="344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>
      <c r="A457" s="10" t="s">
        <v>252</v>
      </c>
      <c r="B457" s="226" t="s">
        <v>306</v>
      </c>
      <c r="C457" s="10" t="s">
        <v>173</v>
      </c>
      <c r="D457" s="14" t="str">
        <v>Black Aluminium Mesh 1.8mm</v>
      </c>
      <c r="E457" s="155"/>
      <c r="F457" s="10"/>
      <c r="G457" s="17"/>
      <c r="H457" s="10"/>
      <c r="I457" s="17"/>
      <c r="J457" s="82"/>
      <c r="K457" s="340"/>
      <c r="L457" s="344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8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>
      <c r="A458" s="10" t="s">
        <v>252</v>
      </c>
      <c r="B458" s="226" t="s">
        <v>306</v>
      </c>
      <c r="C458" s="10" t="s">
        <v>173</v>
      </c>
      <c r="D458" s="14" t="str">
        <v>Black Stainless Steel Mesh 1.0mm</v>
      </c>
      <c r="E458" s="155"/>
      <c r="F458" s="10"/>
      <c r="G458" s="17"/>
      <c r="H458" s="10"/>
      <c r="I458" s="17"/>
      <c r="J458" s="82"/>
      <c r="K458" s="340"/>
      <c r="L458" s="344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8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>
      <c r="A459" s="10" t="s">
        <v>252</v>
      </c>
      <c r="B459" s="226" t="s">
        <v>306</v>
      </c>
      <c r="C459" s="10" t="s">
        <v>173</v>
      </c>
      <c r="D459" s="14" t="str">
        <v/>
      </c>
      <c r="E459" s="155"/>
      <c r="F459" s="10"/>
      <c r="G459" s="17"/>
      <c r="H459" s="10"/>
      <c r="I459" s="17"/>
      <c r="J459" s="82"/>
      <c r="K459" s="340"/>
      <c r="L459" s="344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32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>
      <c r="A460" s="10" t="s">
        <v>252</v>
      </c>
      <c r="B460" s="226" t="s">
        <v>306</v>
      </c>
      <c r="C460" s="10" t="s">
        <v>173</v>
      </c>
      <c r="D460" s="14" t="str">
        <v/>
      </c>
      <c r="E460" s="155"/>
      <c r="F460" s="10"/>
      <c r="G460" s="17"/>
      <c r="H460" s="10"/>
      <c r="I460" s="17"/>
      <c r="J460" s="82"/>
      <c r="K460" s="340"/>
      <c r="L460" s="344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32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>
      <c r="A461" s="10" t="s">
        <v>252</v>
      </c>
      <c r="B461" s="226" t="s">
        <v>306</v>
      </c>
      <c r="C461" s="10" t="s">
        <v>173</v>
      </c>
      <c r="D461" s="14" t="str">
        <v/>
      </c>
      <c r="E461" s="155"/>
      <c r="F461" s="10"/>
      <c r="G461" s="17"/>
      <c r="H461" s="10"/>
      <c r="I461" s="17"/>
      <c r="J461" s="82"/>
      <c r="K461" s="340"/>
      <c r="L461" s="344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64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>
      <c r="A462" s="10" t="s">
        <v>252</v>
      </c>
      <c r="B462" s="226" t="s">
        <v>306</v>
      </c>
      <c r="C462" s="10" t="s">
        <v>173</v>
      </c>
      <c r="D462" s="14" t="str">
        <v/>
      </c>
      <c r="E462" s="155"/>
      <c r="F462" s="10"/>
      <c r="G462" s="17"/>
      <c r="H462" s="10"/>
      <c r="I462" s="17"/>
      <c r="J462" s="82"/>
      <c r="K462" s="340"/>
      <c r="L462" s="344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64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>
      <c r="A463" s="10" t="s">
        <v>252</v>
      </c>
      <c r="B463" s="226" t="s">
        <v>306</v>
      </c>
      <c r="C463" s="10" t="s">
        <v>173</v>
      </c>
      <c r="D463" s="14" t="str">
        <v/>
      </c>
      <c r="E463" s="155"/>
      <c r="F463" s="10"/>
      <c r="G463" s="17"/>
      <c r="H463" s="10"/>
      <c r="I463" s="17"/>
      <c r="J463" s="82"/>
      <c r="K463" s="340"/>
      <c r="L463" s="344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64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>
      <c r="A464" s="10" t="s">
        <v>252</v>
      </c>
      <c r="B464" s="226" t="s">
        <v>306</v>
      </c>
      <c r="C464" s="10" t="s">
        <v>173</v>
      </c>
      <c r="D464" s="14" t="str">
        <v/>
      </c>
      <c r="E464" s="155"/>
      <c r="F464" s="10"/>
      <c r="G464" s="17"/>
      <c r="H464" s="10"/>
      <c r="I464" s="17"/>
      <c r="J464" s="82"/>
      <c r="K464" s="340"/>
      <c r="L464" s="344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64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>
      <c r="A465" s="10" t="s">
        <v>252</v>
      </c>
      <c r="B465" s="226" t="s">
        <v>306</v>
      </c>
      <c r="C465" s="10" t="s">
        <v>173</v>
      </c>
      <c r="D465" s="14"/>
      <c r="E465" s="155"/>
      <c r="F465" s="10"/>
      <c r="G465" s="17"/>
      <c r="H465" s="10"/>
      <c r="I465" s="17"/>
      <c r="J465" s="82"/>
      <c r="K465" s="340"/>
      <c r="L465" s="344"/>
      <c r="M465" s="88">
        <v>23</v>
      </c>
      <c r="N465" s="10" t="s">
        <v>121</v>
      </c>
      <c r="O465" s="22" t="str">
        <f>$O$2</f>
        <v/>
      </c>
      <c r="P465" s="21" t="str">
        <f>Enginuity!$A$19</f>
        <v>P/C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>
      <c r="A466" s="10" t="s">
        <v>252</v>
      </c>
      <c r="B466" s="226" t="s">
        <v>306</v>
      </c>
      <c r="C466" s="10" t="s">
        <v>173</v>
      </c>
      <c r="D466" s="14"/>
      <c r="E466" s="155"/>
      <c r="F466" s="11"/>
      <c r="G466" s="17"/>
      <c r="H466" s="10"/>
      <c r="I466" s="17"/>
      <c r="J466" s="82"/>
      <c r="K466" s="340"/>
      <c r="L466" s="344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>
      <c r="A467" s="10"/>
      <c r="B467" s="226"/>
      <c r="C467" s="10"/>
      <c r="D467" s="14"/>
      <c r="E467" s="155"/>
      <c r="F467" s="11"/>
      <c r="G467" s="17"/>
      <c r="H467" s="10"/>
      <c r="I467" s="17"/>
      <c r="J467" s="82"/>
      <c r="K467" s="340"/>
      <c r="L467" s="344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32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>
      <c r="A468" s="10" t="s">
        <v>252</v>
      </c>
      <c r="B468" s="226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5"/>
      <c r="F468" s="11"/>
      <c r="G468" s="17"/>
      <c r="H468" s="10"/>
      <c r="I468" s="17"/>
      <c r="J468" s="82"/>
      <c r="K468" s="341">
        <v>0.52</v>
      </c>
      <c r="L468" s="344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8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>
      <c r="A469" s="10" t="s">
        <v>252</v>
      </c>
      <c r="B469" s="226" t="s">
        <v>88</v>
      </c>
      <c r="C469" s="10" t="s">
        <v>173</v>
      </c>
      <c r="D469" s="14" t="str">
        <v>Black Aluminium Mesh 1.6mm</v>
      </c>
      <c r="E469" s="155"/>
      <c r="F469" s="11"/>
      <c r="G469" s="17"/>
      <c r="H469" s="10"/>
      <c r="I469" s="17"/>
      <c r="J469" s="82"/>
      <c r="K469" s="340"/>
      <c r="L469" s="344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32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>
      <c r="A470" s="10" t="s">
        <v>252</v>
      </c>
      <c r="B470" s="226" t="s">
        <v>88</v>
      </c>
      <c r="C470" s="10" t="s">
        <v>173</v>
      </c>
      <c r="D470" s="14" t="str">
        <v>Black Aluminium Mesh 1.8mm</v>
      </c>
      <c r="E470" s="155"/>
      <c r="F470" s="10"/>
      <c r="G470" s="17"/>
      <c r="H470" s="10"/>
      <c r="I470" s="17"/>
      <c r="J470" s="82"/>
      <c r="K470" s="340"/>
      <c r="L470" s="344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64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>
      <c r="A471" s="10" t="s">
        <v>252</v>
      </c>
      <c r="B471" s="226" t="s">
        <v>88</v>
      </c>
      <c r="C471" s="10" t="s">
        <v>173</v>
      </c>
      <c r="D471" s="14" t="str">
        <v>Black Stainless Steel Mesh 1.0mm</v>
      </c>
      <c r="E471" s="155"/>
      <c r="F471" s="10"/>
      <c r="G471" s="17"/>
      <c r="H471" s="10"/>
      <c r="I471" s="17"/>
      <c r="J471" s="82"/>
      <c r="K471" s="340"/>
      <c r="L471" s="344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32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>
      <c r="A472" s="10" t="s">
        <v>252</v>
      </c>
      <c r="B472" s="226" t="s">
        <v>88</v>
      </c>
      <c r="C472" s="10" t="s">
        <v>173</v>
      </c>
      <c r="D472" s="14" t="str">
        <v/>
      </c>
      <c r="E472" s="155"/>
      <c r="F472" s="10"/>
      <c r="G472" s="17"/>
      <c r="H472" s="10"/>
      <c r="I472" s="17"/>
      <c r="J472" s="82"/>
      <c r="K472" s="340"/>
      <c r="L472" s="344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32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>
      <c r="A473" s="10" t="s">
        <v>252</v>
      </c>
      <c r="B473" s="226" t="s">
        <v>88</v>
      </c>
      <c r="C473" s="10" t="s">
        <v>173</v>
      </c>
      <c r="D473" s="14" t="str">
        <v/>
      </c>
      <c r="E473" s="155"/>
      <c r="F473" s="10"/>
      <c r="G473" s="17"/>
      <c r="H473" s="10"/>
      <c r="I473" s="17"/>
      <c r="J473" s="82"/>
      <c r="K473" s="340"/>
      <c r="L473" s="344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32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>
      <c r="A474" s="10" t="s">
        <v>252</v>
      </c>
      <c r="B474" s="226" t="s">
        <v>88</v>
      </c>
      <c r="C474" s="10" t="s">
        <v>173</v>
      </c>
      <c r="D474" s="14" t="str">
        <v/>
      </c>
      <c r="E474" s="155"/>
      <c r="F474" s="10"/>
      <c r="G474" s="17"/>
      <c r="H474" s="10"/>
      <c r="I474" s="17"/>
      <c r="J474" s="82"/>
      <c r="K474" s="340"/>
      <c r="L474" s="344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64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>
      <c r="A475" s="10" t="s">
        <v>252</v>
      </c>
      <c r="B475" s="226" t="s">
        <v>88</v>
      </c>
      <c r="C475" s="10" t="s">
        <v>173</v>
      </c>
      <c r="D475" s="14" t="str">
        <v/>
      </c>
      <c r="E475" s="155"/>
      <c r="F475" s="10"/>
      <c r="G475" s="17"/>
      <c r="H475" s="10"/>
      <c r="I475" s="17"/>
      <c r="J475" s="82"/>
      <c r="K475" s="340"/>
      <c r="L475" s="344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32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>
      <c r="A476" s="10" t="s">
        <v>252</v>
      </c>
      <c r="B476" s="226" t="s">
        <v>88</v>
      </c>
      <c r="C476" s="10" t="s">
        <v>173</v>
      </c>
      <c r="D476" s="14" t="str">
        <v/>
      </c>
      <c r="E476" s="155"/>
      <c r="F476" s="10"/>
      <c r="G476" s="17"/>
      <c r="H476" s="10"/>
      <c r="I476" s="17"/>
      <c r="J476" s="82"/>
      <c r="K476" s="340"/>
      <c r="L476" s="344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64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>
      <c r="A477" s="10" t="s">
        <v>252</v>
      </c>
      <c r="B477" s="226" t="s">
        <v>88</v>
      </c>
      <c r="C477" s="10" t="s">
        <v>173</v>
      </c>
      <c r="D477" s="14" t="str">
        <v/>
      </c>
      <c r="E477" s="155"/>
      <c r="F477" s="10"/>
      <c r="G477" s="17"/>
      <c r="H477" s="10"/>
      <c r="I477" s="17"/>
      <c r="J477" s="82"/>
      <c r="K477" s="340"/>
      <c r="L477" s="344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64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>
      <c r="A478" s="10" t="s">
        <v>252</v>
      </c>
      <c r="B478" s="226" t="s">
        <v>88</v>
      </c>
      <c r="C478" s="10" t="s">
        <v>173</v>
      </c>
      <c r="D478" s="14"/>
      <c r="E478" s="155"/>
      <c r="F478" s="10"/>
      <c r="G478" s="17"/>
      <c r="H478" s="10"/>
      <c r="I478" s="17"/>
      <c r="J478" s="82"/>
      <c r="K478" s="340"/>
      <c r="L478" s="344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64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>
      <c r="A479" s="10" t="s">
        <v>252</v>
      </c>
      <c r="B479" s="226" t="s">
        <v>88</v>
      </c>
      <c r="C479" s="10" t="s">
        <v>173</v>
      </c>
      <c r="D479" s="14"/>
      <c r="E479" s="155"/>
      <c r="F479" s="10"/>
      <c r="G479" s="17"/>
      <c r="H479" s="10"/>
      <c r="I479" s="17"/>
      <c r="J479" s="82"/>
      <c r="K479" s="340"/>
      <c r="L479" s="344"/>
      <c r="M479" s="88">
        <v>37</v>
      </c>
      <c r="N479" s="10" t="s">
        <v>121</v>
      </c>
      <c r="O479" s="22" t="str">
        <f>$O$2</f>
        <v/>
      </c>
      <c r="P479" s="21" t="str">
        <f>Enginuity!$A$19</f>
        <v>P/C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>
      <c r="A480" s="10"/>
      <c r="B480" s="226"/>
      <c r="C480" s="10"/>
      <c r="D480" s="14"/>
      <c r="E480" s="155"/>
      <c r="F480" s="10"/>
      <c r="G480" s="17"/>
      <c r="H480" s="10"/>
      <c r="I480" s="17"/>
      <c r="J480" s="82"/>
      <c r="K480" s="340"/>
      <c r="L480" s="344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>
      <c r="A481" s="10" t="s">
        <v>252</v>
      </c>
      <c r="B481" s="226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5"/>
      <c r="F481" s="10"/>
      <c r="G481" s="17"/>
      <c r="H481" s="10"/>
      <c r="I481" s="17"/>
      <c r="J481" s="82"/>
      <c r="K481" s="341">
        <v>0.419568</v>
      </c>
      <c r="L481" s="344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32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>
      <c r="A482" s="10" t="s">
        <v>252</v>
      </c>
      <c r="B482" s="226" t="s">
        <v>87</v>
      </c>
      <c r="C482" s="10" t="s">
        <v>173</v>
      </c>
      <c r="D482" s="14" t="str">
        <v>Black Aluminium Mesh 1.6mm</v>
      </c>
      <c r="E482" s="155"/>
      <c r="F482" s="10"/>
      <c r="G482" s="17"/>
      <c r="H482" s="10"/>
      <c r="I482" s="17"/>
      <c r="J482" s="82"/>
      <c r="K482" s="340"/>
      <c r="L482" s="344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>
      <c r="A483" s="10" t="s">
        <v>252</v>
      </c>
      <c r="B483" s="226" t="s">
        <v>87</v>
      </c>
      <c r="C483" s="10" t="s">
        <v>173</v>
      </c>
      <c r="D483" s="14" t="str">
        <v>Black Aluminium Mesh 1.8mm</v>
      </c>
      <c r="E483" s="155"/>
      <c r="F483" s="10"/>
      <c r="G483" s="17"/>
      <c r="H483" s="10"/>
      <c r="I483" s="17"/>
      <c r="J483" s="82"/>
      <c r="K483" s="340"/>
      <c r="L483" s="344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>
      <c r="A484" s="10" t="s">
        <v>252</v>
      </c>
      <c r="B484" s="226" t="s">
        <v>87</v>
      </c>
      <c r="C484" s="10" t="s">
        <v>173</v>
      </c>
      <c r="D484" s="14" t="str">
        <v>Black Stainless Steel Mesh 1.0mm</v>
      </c>
      <c r="E484" s="155"/>
      <c r="F484" s="10"/>
      <c r="G484" s="17"/>
      <c r="H484" s="10"/>
      <c r="I484" s="17"/>
      <c r="J484" s="82"/>
      <c r="K484" s="340"/>
      <c r="L484" s="344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>
      <c r="A485" s="10" t="s">
        <v>252</v>
      </c>
      <c r="B485" s="226" t="s">
        <v>87</v>
      </c>
      <c r="C485" s="10" t="s">
        <v>173</v>
      </c>
      <c r="D485" s="14" t="str">
        <v/>
      </c>
      <c r="E485" s="155"/>
      <c r="F485" s="10"/>
      <c r="G485" s="17"/>
      <c r="H485" s="10"/>
      <c r="I485" s="17"/>
      <c r="J485" s="82"/>
      <c r="K485" s="340"/>
      <c r="L485" s="344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32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>
      <c r="A486" s="10" t="s">
        <v>252</v>
      </c>
      <c r="B486" s="226" t="s">
        <v>87</v>
      </c>
      <c r="C486" s="10" t="s">
        <v>173</v>
      </c>
      <c r="D486" s="14" t="str">
        <v/>
      </c>
      <c r="E486" s="155"/>
      <c r="F486" s="10"/>
      <c r="G486" s="17"/>
      <c r="H486" s="10"/>
      <c r="I486" s="17"/>
      <c r="J486" s="82"/>
      <c r="K486" s="340"/>
      <c r="L486" s="344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>
      <c r="A487" s="10" t="s">
        <v>252</v>
      </c>
      <c r="B487" s="226" t="s">
        <v>87</v>
      </c>
      <c r="C487" s="10" t="s">
        <v>173</v>
      </c>
      <c r="D487" s="14" t="str">
        <v/>
      </c>
      <c r="E487" s="155"/>
      <c r="F487" s="10"/>
      <c r="G487" s="17"/>
      <c r="H487" s="10"/>
      <c r="I487" s="17"/>
      <c r="J487" s="82"/>
      <c r="K487" s="340"/>
      <c r="L487" s="344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>
      <c r="A488" s="10" t="s">
        <v>252</v>
      </c>
      <c r="B488" s="226" t="s">
        <v>87</v>
      </c>
      <c r="C488" s="10" t="s">
        <v>173</v>
      </c>
      <c r="D488" s="14" t="str">
        <v/>
      </c>
      <c r="E488" s="155"/>
      <c r="F488" s="10"/>
      <c r="G488" s="17"/>
      <c r="H488" s="10"/>
      <c r="I488" s="17"/>
      <c r="J488" s="82"/>
      <c r="K488" s="340"/>
      <c r="L488" s="344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32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>
      <c r="A489" s="10" t="s">
        <v>252</v>
      </c>
      <c r="B489" s="226" t="s">
        <v>87</v>
      </c>
      <c r="C489" s="10" t="s">
        <v>173</v>
      </c>
      <c r="D489" s="14" t="str">
        <v/>
      </c>
      <c r="E489" s="155"/>
      <c r="F489" s="10"/>
      <c r="G489" s="17"/>
      <c r="H489" s="10"/>
      <c r="I489" s="17"/>
      <c r="J489" s="82"/>
      <c r="K489" s="340"/>
      <c r="L489" s="344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>
      <c r="A490" s="10"/>
      <c r="B490" s="226"/>
      <c r="C490" s="10"/>
      <c r="D490" s="14" t="str">
        <v/>
      </c>
      <c r="E490" s="155"/>
      <c r="F490" s="10"/>
      <c r="G490" s="17"/>
      <c r="H490" s="10"/>
      <c r="I490" s="17"/>
      <c r="J490" s="82"/>
      <c r="K490" s="340"/>
      <c r="L490" s="344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>
      <c r="A491" s="17"/>
      <c r="B491" s="227"/>
      <c r="C491" s="17"/>
      <c r="D491" s="18"/>
      <c r="E491" s="235"/>
      <c r="F491" s="17"/>
      <c r="G491" s="17"/>
      <c r="H491" s="10"/>
      <c r="I491" s="17"/>
      <c r="J491" s="82"/>
      <c r="K491" s="340"/>
      <c r="L491" s="344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>
      <c r="A492" s="10" t="s">
        <v>252</v>
      </c>
      <c r="B492" s="226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5"/>
      <c r="F492" s="11"/>
      <c r="G492" s="17"/>
      <c r="H492" s="10"/>
      <c r="I492" s="17"/>
      <c r="J492" s="82"/>
      <c r="K492" s="341">
        <v>0.419568</v>
      </c>
      <c r="L492" s="344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32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>
      <c r="A493" s="10" t="s">
        <v>252</v>
      </c>
      <c r="B493" s="226" t="s">
        <v>211</v>
      </c>
      <c r="C493" s="10" t="s">
        <v>173</v>
      </c>
      <c r="D493" s="14" t="str">
        <v>Black Aluminium Mesh 1.6mm</v>
      </c>
      <c r="E493" s="155"/>
      <c r="F493" s="11"/>
      <c r="G493" s="17"/>
      <c r="H493" s="10"/>
      <c r="I493" s="17"/>
      <c r="J493" s="82"/>
      <c r="K493" s="340"/>
      <c r="L493" s="344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3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>
      <c r="A494" s="10" t="s">
        <v>252</v>
      </c>
      <c r="B494" s="226" t="s">
        <v>211</v>
      </c>
      <c r="C494" s="10" t="s">
        <v>173</v>
      </c>
      <c r="D494" s="14" t="str">
        <v>Black Aluminium Mesh 1.8mm</v>
      </c>
      <c r="E494" s="155"/>
      <c r="F494" s="11"/>
      <c r="G494" s="17"/>
      <c r="H494" s="10"/>
      <c r="I494" s="17"/>
      <c r="J494" s="82"/>
      <c r="K494" s="340"/>
      <c r="L494" s="344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8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>
      <c r="A495" s="10" t="s">
        <v>252</v>
      </c>
      <c r="B495" s="226" t="s">
        <v>211</v>
      </c>
      <c r="C495" s="10" t="s">
        <v>173</v>
      </c>
      <c r="D495" s="14" t="str">
        <v>Black Stainless Steel Mesh 1.0mm</v>
      </c>
      <c r="E495" s="155"/>
      <c r="F495" s="10"/>
      <c r="G495" s="17"/>
      <c r="H495" s="10"/>
      <c r="I495" s="17"/>
      <c r="J495" s="82"/>
      <c r="K495" s="340"/>
      <c r="L495" s="344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>
      <c r="A496" s="10" t="s">
        <v>252</v>
      </c>
      <c r="B496" s="226" t="s">
        <v>211</v>
      </c>
      <c r="C496" s="10" t="s">
        <v>173</v>
      </c>
      <c r="D496" s="14" t="str">
        <v/>
      </c>
      <c r="E496" s="155"/>
      <c r="F496" s="10"/>
      <c r="G496" s="17"/>
      <c r="H496" s="10"/>
      <c r="I496" s="17"/>
      <c r="J496" s="82"/>
      <c r="K496" s="340"/>
      <c r="L496" s="344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>
      <c r="A497" s="10" t="s">
        <v>252</v>
      </c>
      <c r="B497" s="226" t="s">
        <v>211</v>
      </c>
      <c r="C497" s="10" t="s">
        <v>173</v>
      </c>
      <c r="D497" s="14" t="str">
        <v/>
      </c>
      <c r="E497" s="155"/>
      <c r="F497" s="10"/>
      <c r="G497" s="17"/>
      <c r="H497" s="10"/>
      <c r="I497" s="17"/>
      <c r="J497" s="82"/>
      <c r="K497" s="340"/>
      <c r="L497" s="344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32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>
      <c r="A498" s="10" t="s">
        <v>252</v>
      </c>
      <c r="B498" s="226" t="s">
        <v>211</v>
      </c>
      <c r="C498" s="10" t="s">
        <v>173</v>
      </c>
      <c r="D498" s="14" t="str">
        <v/>
      </c>
      <c r="E498" s="155"/>
      <c r="F498" s="10"/>
      <c r="G498" s="17"/>
      <c r="H498" s="10"/>
      <c r="I498" s="17"/>
      <c r="J498" s="82"/>
      <c r="K498" s="340"/>
      <c r="L498" s="344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>
      <c r="A499" s="10"/>
      <c r="B499" s="226"/>
      <c r="C499" s="10"/>
      <c r="D499" s="14"/>
      <c r="E499" s="155"/>
      <c r="F499" s="10"/>
      <c r="G499" s="17"/>
      <c r="H499" s="10"/>
      <c r="I499" s="17"/>
      <c r="J499" s="82"/>
      <c r="K499" s="340"/>
      <c r="L499" s="344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>
      <c r="A500" s="17"/>
      <c r="B500" s="227"/>
      <c r="C500" s="17"/>
      <c r="D500" s="18"/>
      <c r="E500" s="235"/>
      <c r="F500" s="17"/>
      <c r="G500" s="17"/>
      <c r="H500" s="10"/>
      <c r="I500" s="17"/>
      <c r="J500" s="82"/>
      <c r="K500" s="340"/>
      <c r="L500" s="344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>
      <c r="A501" s="10" t="s">
        <v>256</v>
      </c>
      <c r="B501" s="226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5"/>
      <c r="F501" s="10"/>
      <c r="G501" s="17"/>
      <c r="H501" s="10"/>
      <c r="I501" s="17"/>
      <c r="J501" s="82"/>
      <c r="K501" s="341">
        <v>0.501</v>
      </c>
      <c r="L501" s="344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32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>
      <c r="A502" s="10" t="s">
        <v>256</v>
      </c>
      <c r="B502" s="226" t="s">
        <v>90</v>
      </c>
      <c r="C502" s="10" t="s">
        <v>107</v>
      </c>
      <c r="D502" s="14" t="str">
        <v>Black Aluminium Mesh 1.6mm</v>
      </c>
      <c r="E502" s="155"/>
      <c r="F502" s="10"/>
      <c r="G502" s="17"/>
      <c r="H502" s="10"/>
      <c r="I502" s="17"/>
      <c r="J502" s="82"/>
      <c r="K502" s="340"/>
      <c r="L502" s="344"/>
      <c r="M502" s="88">
        <v>11</v>
      </c>
      <c r="N502" s="10" t="s">
        <v>121</v>
      </c>
      <c r="O502" s="22" t="str">
        <f>$O$2</f>
        <v/>
      </c>
      <c r="P502" s="21" t="str">
        <f>Enginuity!$A$19</f>
        <v>P/C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>
      <c r="A503" s="10" t="s">
        <v>256</v>
      </c>
      <c r="B503" s="226" t="s">
        <v>90</v>
      </c>
      <c r="C503" s="10" t="s">
        <v>107</v>
      </c>
      <c r="D503" s="14" t="str">
        <v>Black Aluminium Mesh 1.8mm</v>
      </c>
      <c r="E503" s="155"/>
      <c r="F503" s="11"/>
      <c r="G503" s="17"/>
      <c r="H503" s="10"/>
      <c r="I503" s="17"/>
      <c r="J503" s="82"/>
      <c r="K503" s="340"/>
      <c r="L503" s="344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27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>
      <c r="A504" s="10" t="s">
        <v>256</v>
      </c>
      <c r="B504" s="226" t="s">
        <v>90</v>
      </c>
      <c r="C504" s="10" t="s">
        <v>107</v>
      </c>
      <c r="D504" s="14" t="str">
        <v>Black Stainless Steel Mesh 1.0mm</v>
      </c>
      <c r="E504" s="155"/>
      <c r="F504" s="11"/>
      <c r="G504" s="17"/>
      <c r="H504" s="10"/>
      <c r="I504" s="17"/>
      <c r="J504" s="82"/>
      <c r="K504" s="340"/>
      <c r="L504" s="344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>
      <c r="A505" s="10" t="s">
        <v>256</v>
      </c>
      <c r="B505" s="226" t="s">
        <v>90</v>
      </c>
      <c r="C505" s="10" t="s">
        <v>107</v>
      </c>
      <c r="D505" s="14" t="str">
        <v/>
      </c>
      <c r="E505" s="155"/>
      <c r="F505" s="11"/>
      <c r="G505" s="17"/>
      <c r="H505" s="10"/>
      <c r="I505" s="17"/>
      <c r="J505" s="82"/>
      <c r="K505" s="340"/>
      <c r="L505" s="344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2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>
      <c r="A506" s="10" t="s">
        <v>256</v>
      </c>
      <c r="B506" s="226" t="s">
        <v>90</v>
      </c>
      <c r="C506" s="10" t="s">
        <v>107</v>
      </c>
      <c r="D506" s="14" t="str">
        <v/>
      </c>
      <c r="E506" s="155"/>
      <c r="F506" s="11"/>
      <c r="G506" s="17"/>
      <c r="H506" s="10"/>
      <c r="I506" s="17"/>
      <c r="J506" s="82"/>
      <c r="K506" s="340"/>
      <c r="L506" s="344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>
      <c r="A507" s="17" t="s">
        <v>256</v>
      </c>
      <c r="B507" s="227" t="s">
        <v>90</v>
      </c>
      <c r="C507" s="17"/>
      <c r="D507" s="18" t="str">
        <v/>
      </c>
      <c r="E507" s="235"/>
      <c r="F507" s="17"/>
      <c r="G507" s="17"/>
      <c r="H507" s="17"/>
      <c r="I507" s="17"/>
      <c r="J507" s="83"/>
      <c r="K507" s="340"/>
      <c r="L507" s="344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>
      <c r="A508" s="10" t="s">
        <v>256</v>
      </c>
      <c r="B508" s="226" t="s">
        <v>90</v>
      </c>
      <c r="C508" s="10" t="s">
        <v>97</v>
      </c>
      <c r="D508" s="14"/>
      <c r="E508" s="155"/>
      <c r="F508" s="10"/>
      <c r="G508" s="17"/>
      <c r="H508" s="10"/>
      <c r="I508" s="17"/>
      <c r="J508" s="82"/>
      <c r="K508" s="341">
        <v>0.501</v>
      </c>
      <c r="L508" s="344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32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>
      <c r="A509" s="10" t="s">
        <v>256</v>
      </c>
      <c r="B509" s="226" t="s">
        <v>90</v>
      </c>
      <c r="C509" s="10" t="s">
        <v>97</v>
      </c>
      <c r="D509" s="14"/>
      <c r="E509" s="155"/>
      <c r="F509" s="10"/>
      <c r="G509" s="17"/>
      <c r="H509" s="10"/>
      <c r="I509" s="17"/>
      <c r="J509" s="82"/>
      <c r="K509" s="340"/>
      <c r="L509" s="344"/>
      <c r="M509" s="88">
        <v>17</v>
      </c>
      <c r="N509" s="10" t="s">
        <v>103</v>
      </c>
      <c r="O509" s="22" t="str">
        <f>$O$2</f>
        <v/>
      </c>
      <c r="P509" s="21" t="str">
        <f>Enginuity!$A$19</f>
        <v>P/C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>
      <c r="A510" s="10" t="s">
        <v>256</v>
      </c>
      <c r="B510" s="226" t="s">
        <v>90</v>
      </c>
      <c r="C510" s="10" t="s">
        <v>97</v>
      </c>
      <c r="D510" s="14"/>
      <c r="E510" s="155"/>
      <c r="F510" s="10"/>
      <c r="G510" s="17"/>
      <c r="H510" s="10"/>
      <c r="I510" s="17"/>
      <c r="J510" s="82"/>
      <c r="K510" s="340"/>
      <c r="L510" s="344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27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>
      <c r="A511" s="10" t="s">
        <v>256</v>
      </c>
      <c r="B511" s="226" t="s">
        <v>90</v>
      </c>
      <c r="C511" s="10" t="s">
        <v>97</v>
      </c>
      <c r="D511" s="14"/>
      <c r="E511" s="155"/>
      <c r="F511" s="10"/>
      <c r="G511" s="17"/>
      <c r="H511" s="10"/>
      <c r="I511" s="17"/>
      <c r="J511" s="82"/>
      <c r="K511" s="340"/>
      <c r="L511" s="344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>
      <c r="A512" s="10" t="s">
        <v>256</v>
      </c>
      <c r="B512" s="226" t="s">
        <v>90</v>
      </c>
      <c r="C512" s="10" t="s">
        <v>97</v>
      </c>
      <c r="D512" s="14"/>
      <c r="E512" s="155"/>
      <c r="F512" s="10"/>
      <c r="G512" s="17"/>
      <c r="H512" s="10"/>
      <c r="I512" s="17"/>
      <c r="J512" s="82"/>
      <c r="K512" s="340"/>
      <c r="L512" s="344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2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>
      <c r="A513" s="10" t="s">
        <v>256</v>
      </c>
      <c r="B513" s="226" t="s">
        <v>90</v>
      </c>
      <c r="C513" s="10" t="s">
        <v>97</v>
      </c>
      <c r="D513" s="14"/>
      <c r="E513" s="155"/>
      <c r="F513" s="10"/>
      <c r="G513" s="17"/>
      <c r="H513" s="10"/>
      <c r="I513" s="17"/>
      <c r="J513" s="82"/>
      <c r="K513" s="340"/>
      <c r="L513" s="344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>
      <c r="A514" s="17" t="s">
        <v>256</v>
      </c>
      <c r="B514" s="227"/>
      <c r="C514" s="17"/>
      <c r="D514" s="18"/>
      <c r="E514" s="235"/>
      <c r="F514" s="17"/>
      <c r="G514" s="17"/>
      <c r="H514" s="17"/>
      <c r="I514" s="17"/>
      <c r="J514" s="83"/>
      <c r="K514" s="340"/>
      <c r="L514" s="344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>
      <c r="A515" s="10" t="s">
        <v>256</v>
      </c>
      <c r="B515" s="226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5"/>
      <c r="F515" s="10"/>
      <c r="G515" s="17"/>
      <c r="H515" s="10"/>
      <c r="I515" s="17"/>
      <c r="J515" s="82"/>
      <c r="K515" s="341">
        <v>0.501</v>
      </c>
      <c r="L515" s="344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P/C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>
      <c r="A516" s="10" t="s">
        <v>256</v>
      </c>
      <c r="B516" s="226" t="s">
        <v>324</v>
      </c>
      <c r="C516" s="10" t="s">
        <v>173</v>
      </c>
      <c r="D516" s="14" t="str">
        <v>Black Aluminium Mesh 1.6mm</v>
      </c>
      <c r="E516" s="155"/>
      <c r="F516" s="10"/>
      <c r="G516" s="17"/>
      <c r="H516" s="10"/>
      <c r="I516" s="17"/>
      <c r="J516" s="82"/>
      <c r="K516" s="340"/>
      <c r="L516" s="344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4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>
      <c r="A517" s="10" t="s">
        <v>256</v>
      </c>
      <c r="B517" s="226" t="s">
        <v>324</v>
      </c>
      <c r="C517" s="10" t="s">
        <v>173</v>
      </c>
      <c r="D517" s="14" t="str">
        <v>Black Aluminium Mesh 1.8mm</v>
      </c>
      <c r="E517" s="155"/>
      <c r="F517" s="11"/>
      <c r="G517" s="17"/>
      <c r="H517" s="10"/>
      <c r="I517" s="17"/>
      <c r="J517" s="82"/>
      <c r="K517" s="340"/>
      <c r="L517" s="344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4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>
      <c r="A518" s="10"/>
      <c r="B518" s="226"/>
      <c r="C518" s="10"/>
      <c r="D518" s="14" t="str">
        <v>Black Stainless Steel Mesh 1.0mm</v>
      </c>
      <c r="E518" s="155"/>
      <c r="F518" s="11"/>
      <c r="G518" s="17"/>
      <c r="H518" s="10"/>
      <c r="I518" s="17"/>
      <c r="J518" s="82"/>
      <c r="K518" s="340"/>
      <c r="L518" s="344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>
      <c r="A519" s="10"/>
      <c r="B519" s="226"/>
      <c r="C519" s="10"/>
      <c r="D519" s="14" t="str">
        <v/>
      </c>
      <c r="E519" s="155"/>
      <c r="F519" s="11"/>
      <c r="G519" s="17"/>
      <c r="H519" s="10"/>
      <c r="I519" s="17"/>
      <c r="J519" s="82"/>
      <c r="K519" s="340"/>
      <c r="L519" s="344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>
      <c r="A520" s="10"/>
      <c r="B520" s="226"/>
      <c r="C520" s="10"/>
      <c r="D520" s="14" t="str">
        <v/>
      </c>
      <c r="E520" s="155"/>
      <c r="F520" s="11"/>
      <c r="G520" s="17"/>
      <c r="H520" s="10"/>
      <c r="I520" s="17"/>
      <c r="J520" s="82"/>
      <c r="K520" s="340"/>
      <c r="L520" s="344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>
      <c r="A521" s="10"/>
      <c r="B521" s="226"/>
      <c r="C521" s="10"/>
      <c r="D521" s="14" t="str">
        <v/>
      </c>
      <c r="E521" s="155"/>
      <c r="F521" s="11"/>
      <c r="G521" s="17"/>
      <c r="H521" s="10"/>
      <c r="I521" s="17"/>
      <c r="J521" s="82"/>
      <c r="K521" s="340"/>
      <c r="L521" s="344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>
      <c r="A522" s="10"/>
      <c r="B522" s="226"/>
      <c r="C522" s="10"/>
      <c r="D522" s="14"/>
      <c r="E522" s="155"/>
      <c r="F522" s="10"/>
      <c r="G522" s="17"/>
      <c r="H522" s="10"/>
      <c r="I522" s="17"/>
      <c r="J522" s="82"/>
      <c r="K522" s="340"/>
      <c r="L522" s="344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>
      <c r="A523" s="10"/>
      <c r="B523" s="226"/>
      <c r="C523" s="10"/>
      <c r="D523" s="14"/>
      <c r="E523" s="155"/>
      <c r="F523" s="10"/>
      <c r="G523" s="17"/>
      <c r="H523" s="10"/>
      <c r="I523" s="17"/>
      <c r="J523" s="82"/>
      <c r="K523" s="340"/>
      <c r="L523" s="344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>
      <c r="A524" s="10"/>
      <c r="B524" s="226"/>
      <c r="C524" s="10"/>
      <c r="D524" s="14"/>
      <c r="E524" s="155"/>
      <c r="F524" s="10"/>
      <c r="G524" s="17"/>
      <c r="H524" s="10"/>
      <c r="I524" s="17"/>
      <c r="J524" s="82"/>
      <c r="K524" s="340"/>
      <c r="L524" s="344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>
      <c r="A525" s="10"/>
      <c r="B525" s="226"/>
      <c r="C525" s="10"/>
      <c r="D525" s="14"/>
      <c r="E525" s="155"/>
      <c r="F525" s="10"/>
      <c r="G525" s="17"/>
      <c r="H525" s="10"/>
      <c r="I525" s="17"/>
      <c r="J525" s="82"/>
      <c r="K525" s="340"/>
      <c r="L525" s="344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>
      <c r="A526" s="10"/>
      <c r="B526" s="226"/>
      <c r="C526" s="10"/>
      <c r="D526" s="14"/>
      <c r="E526" s="155"/>
      <c r="F526" s="10"/>
      <c r="G526" s="17"/>
      <c r="H526" s="10"/>
      <c r="I526" s="17"/>
      <c r="J526" s="82"/>
      <c r="K526" s="340"/>
      <c r="L526" s="344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>
      <c r="A527" s="10"/>
      <c r="B527" s="226"/>
      <c r="C527" s="10"/>
      <c r="D527" s="14"/>
      <c r="E527" s="155"/>
      <c r="F527" s="10"/>
      <c r="G527" s="17"/>
      <c r="H527" s="10"/>
      <c r="I527" s="17"/>
      <c r="J527" s="82"/>
      <c r="K527" s="340"/>
      <c r="L527" s="344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>
      <c r="A528" s="10"/>
      <c r="B528" s="226"/>
      <c r="C528" s="10"/>
      <c r="D528" s="14"/>
      <c r="E528" s="155"/>
      <c r="F528" s="11"/>
      <c r="G528" s="17"/>
      <c r="H528" s="10"/>
      <c r="I528" s="17"/>
      <c r="J528" s="82"/>
      <c r="K528" s="340"/>
      <c r="L528" s="344"/>
      <c r="M528" s="88"/>
      <c r="N528" s="253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>
      <c r="A529" s="10"/>
      <c r="B529" s="226"/>
      <c r="C529" s="10"/>
      <c r="D529" s="14"/>
      <c r="E529" s="155"/>
      <c r="F529" s="11"/>
      <c r="G529" s="17"/>
      <c r="H529" s="10"/>
      <c r="I529" s="17"/>
      <c r="J529" s="82"/>
      <c r="K529" s="341"/>
      <c r="L529" s="344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>
      <c r="A530" s="10"/>
      <c r="B530" s="226"/>
      <c r="C530" s="10"/>
      <c r="D530" s="14"/>
      <c r="E530" s="155"/>
      <c r="F530" s="11"/>
      <c r="G530" s="17"/>
      <c r="H530" s="10"/>
      <c r="I530" s="17"/>
      <c r="J530" s="82"/>
      <c r="K530" s="340"/>
      <c r="L530" s="344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>
      <c r="A531" s="10"/>
      <c r="B531" s="226"/>
      <c r="C531" s="10"/>
      <c r="D531" s="14"/>
      <c r="E531" s="155"/>
      <c r="F531" s="11"/>
      <c r="G531" s="17"/>
      <c r="H531" s="10"/>
      <c r="I531" s="17"/>
      <c r="J531" s="82"/>
      <c r="K531" s="340"/>
      <c r="L531" s="344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>
      <c r="A532" s="10"/>
      <c r="B532" s="226"/>
      <c r="C532" s="10"/>
      <c r="D532" s="14"/>
      <c r="E532" s="155"/>
      <c r="F532" s="10"/>
      <c r="G532" s="17"/>
      <c r="H532" s="10"/>
      <c r="I532" s="17"/>
      <c r="J532" s="82"/>
      <c r="K532" s="340"/>
      <c r="L532" s="344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>
      <c r="A533" s="10"/>
      <c r="B533" s="226"/>
      <c r="C533" s="10"/>
      <c r="D533" s="14"/>
      <c r="E533" s="155"/>
      <c r="F533" s="10"/>
      <c r="G533" s="17"/>
      <c r="H533" s="10"/>
      <c r="I533" s="17"/>
      <c r="J533" s="82"/>
      <c r="K533" s="340"/>
      <c r="L533" s="344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>
      <c r="A534" s="10"/>
      <c r="B534" s="226"/>
      <c r="C534" s="10"/>
      <c r="D534" s="14"/>
      <c r="E534" s="155"/>
      <c r="F534" s="10"/>
      <c r="G534" s="17"/>
      <c r="H534" s="10"/>
      <c r="I534" s="17"/>
      <c r="J534" s="82"/>
      <c r="K534" s="340"/>
      <c r="L534" s="344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>
      <c r="A535" s="10"/>
      <c r="B535" s="226"/>
      <c r="C535" s="10"/>
      <c r="D535" s="14"/>
      <c r="E535" s="155"/>
      <c r="F535" s="10"/>
      <c r="G535" s="17"/>
      <c r="H535" s="10"/>
      <c r="I535" s="17"/>
      <c r="J535" s="82"/>
      <c r="K535" s="340"/>
      <c r="L535" s="344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>
      <c r="A536" s="10"/>
      <c r="B536" s="226"/>
      <c r="C536" s="10"/>
      <c r="D536" s="14"/>
      <c r="E536" s="155"/>
      <c r="F536" s="10"/>
      <c r="G536" s="17"/>
      <c r="H536" s="10"/>
      <c r="I536" s="17"/>
      <c r="J536" s="82"/>
      <c r="K536" s="340"/>
      <c r="L536" s="344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>
      <c r="A537" s="10"/>
      <c r="B537" s="226"/>
      <c r="C537" s="10"/>
      <c r="D537" s="14"/>
      <c r="E537" s="155"/>
      <c r="F537" s="10"/>
      <c r="G537" s="17"/>
      <c r="H537" s="10"/>
      <c r="I537" s="17"/>
      <c r="J537" s="82"/>
      <c r="K537" s="340"/>
      <c r="L537" s="344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>
      <c r="A538" s="10"/>
      <c r="B538" s="226"/>
      <c r="C538" s="10"/>
      <c r="D538" s="14"/>
      <c r="E538" s="155"/>
      <c r="F538" s="10"/>
      <c r="G538" s="17"/>
      <c r="H538" s="10"/>
      <c r="I538" s="17"/>
      <c r="J538" s="82"/>
      <c r="K538" s="340"/>
      <c r="L538" s="344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>
      <c r="A539" s="10"/>
      <c r="B539" s="226"/>
      <c r="C539" s="10"/>
      <c r="D539" s="14"/>
      <c r="E539" s="155"/>
      <c r="F539" s="10"/>
      <c r="G539" s="17"/>
      <c r="H539" s="10"/>
      <c r="I539" s="17"/>
      <c r="J539" s="82"/>
      <c r="K539" s="340"/>
      <c r="L539" s="344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>
      <c r="A540" s="17"/>
      <c r="B540" s="227"/>
      <c r="C540" s="17"/>
      <c r="D540" s="18"/>
      <c r="E540" s="235"/>
      <c r="F540" s="23"/>
      <c r="G540" s="17"/>
      <c r="H540" s="17"/>
      <c r="I540" s="17"/>
      <c r="J540" s="83"/>
      <c r="K540" s="340"/>
      <c r="L540" s="344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>
      <c r="A541" s="10" t="s">
        <v>768</v>
      </c>
      <c r="B541" s="226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5"/>
      <c r="F541" s="10" t="s">
        <v>9</v>
      </c>
      <c r="G541" s="17"/>
      <c r="H541" s="10"/>
      <c r="I541" s="17"/>
      <c r="J541" s="82"/>
      <c r="K541" s="341">
        <v>0.50301600000000002</v>
      </c>
      <c r="L541" s="344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32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>
      <c r="A542" s="10" t="s">
        <v>768</v>
      </c>
      <c r="B542" s="226" t="s">
        <v>84</v>
      </c>
      <c r="C542" s="10" t="s">
        <v>97</v>
      </c>
      <c r="D542" s="14" t="str">
        <v>Black Aluminium Mesh 1.6mm</v>
      </c>
      <c r="E542" s="155"/>
      <c r="F542" s="11"/>
      <c r="G542" s="17"/>
      <c r="H542" s="10"/>
      <c r="I542" s="17"/>
      <c r="J542" s="82"/>
      <c r="K542" s="340"/>
      <c r="L542" s="344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80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>
      <c r="A543" s="10" t="s">
        <v>768</v>
      </c>
      <c r="B543" s="226" t="s">
        <v>84</v>
      </c>
      <c r="C543" s="10" t="s">
        <v>97</v>
      </c>
      <c r="D543" s="14" t="str">
        <v>Black Aluminium Mesh 1.8mm</v>
      </c>
      <c r="E543" s="155"/>
      <c r="F543" s="10"/>
      <c r="G543" s="17"/>
      <c r="H543" s="10"/>
      <c r="I543" s="17"/>
      <c r="J543" s="82"/>
      <c r="K543" s="340"/>
      <c r="L543" s="344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>
      <c r="A544" s="10" t="s">
        <v>768</v>
      </c>
      <c r="B544" s="226" t="s">
        <v>84</v>
      </c>
      <c r="C544" s="10" t="s">
        <v>97</v>
      </c>
      <c r="D544" s="14" t="str">
        <v>Black Stainless Steel Mesh 1.0mm</v>
      </c>
      <c r="E544" s="155"/>
      <c r="F544" s="10"/>
      <c r="G544" s="17"/>
      <c r="H544" s="10"/>
      <c r="I544" s="17"/>
      <c r="J544" s="82"/>
      <c r="K544" s="340"/>
      <c r="L544" s="344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24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>
      <c r="A545" s="10" t="s">
        <v>768</v>
      </c>
      <c r="B545" s="226" t="s">
        <v>84</v>
      </c>
      <c r="C545" s="10" t="s">
        <v>97</v>
      </c>
      <c r="D545" s="14" t="str">
        <v/>
      </c>
      <c r="E545" s="155"/>
      <c r="F545" s="10"/>
      <c r="G545" s="17"/>
      <c r="H545" s="10"/>
      <c r="I545" s="17"/>
      <c r="J545" s="82"/>
      <c r="K545" s="340"/>
      <c r="L545" s="344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80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>
      <c r="A546" s="10" t="s">
        <v>768</v>
      </c>
      <c r="B546" s="226" t="s">
        <v>84</v>
      </c>
      <c r="C546" s="10" t="s">
        <v>97</v>
      </c>
      <c r="D546" s="14" t="str">
        <v/>
      </c>
      <c r="E546" s="155"/>
      <c r="F546" s="10"/>
      <c r="G546" s="17"/>
      <c r="H546" s="10"/>
      <c r="I546" s="17"/>
      <c r="J546" s="82"/>
      <c r="K546" s="340"/>
      <c r="L546" s="344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32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>
      <c r="A547" s="10" t="s">
        <v>768</v>
      </c>
      <c r="B547" s="226" t="s">
        <v>84</v>
      </c>
      <c r="C547" s="10" t="s">
        <v>97</v>
      </c>
      <c r="D547" s="14" t="str">
        <v/>
      </c>
      <c r="E547" s="155"/>
      <c r="F547" s="10"/>
      <c r="G547" s="17"/>
      <c r="H547" s="10"/>
      <c r="I547" s="17"/>
      <c r="J547" s="82"/>
      <c r="K547" s="340"/>
      <c r="L547" s="344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>
      <c r="A548" s="10" t="s">
        <v>768</v>
      </c>
      <c r="B548" s="226" t="s">
        <v>84</v>
      </c>
      <c r="C548" s="10" t="s">
        <v>97</v>
      </c>
      <c r="D548" s="14"/>
      <c r="E548" s="155"/>
      <c r="F548" s="10"/>
      <c r="G548" s="17"/>
      <c r="H548" s="10"/>
      <c r="I548" s="17"/>
      <c r="J548" s="82"/>
      <c r="K548" s="340"/>
      <c r="L548" s="344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>
      <c r="A549" s="10" t="s">
        <v>768</v>
      </c>
      <c r="B549" s="226" t="s">
        <v>84</v>
      </c>
      <c r="C549" s="10" t="s">
        <v>97</v>
      </c>
      <c r="D549" s="14"/>
      <c r="E549" s="155"/>
      <c r="F549" s="10"/>
      <c r="G549" s="17"/>
      <c r="H549" s="10"/>
      <c r="I549" s="17"/>
      <c r="J549" s="82"/>
      <c r="K549" s="340"/>
      <c r="L549" s="344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>
      <c r="A550" s="10" t="s">
        <v>768</v>
      </c>
      <c r="B550" s="226" t="s">
        <v>84</v>
      </c>
      <c r="C550" s="10" t="s">
        <v>97</v>
      </c>
      <c r="D550" s="14"/>
      <c r="E550" s="155"/>
      <c r="F550" s="10"/>
      <c r="G550" s="17"/>
      <c r="H550" s="10"/>
      <c r="I550" s="17"/>
      <c r="J550" s="82"/>
      <c r="K550" s="340"/>
      <c r="L550" s="344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Breezway 102mm Glass Infill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>
      <c r="A551" s="10" t="s">
        <v>768</v>
      </c>
      <c r="B551" s="226" t="s">
        <v>84</v>
      </c>
      <c r="C551" s="10" t="s">
        <v>97</v>
      </c>
      <c r="D551" s="14"/>
      <c r="E551" s="155"/>
      <c r="F551" s="10"/>
      <c r="G551" s="17"/>
      <c r="H551" s="10"/>
      <c r="I551" s="17"/>
      <c r="J551" s="82"/>
      <c r="K551" s="340"/>
      <c r="L551" s="344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>
      <c r="A552" s="10" t="s">
        <v>768</v>
      </c>
      <c r="B552" s="226" t="s">
        <v>84</v>
      </c>
      <c r="C552" s="10" t="s">
        <v>97</v>
      </c>
      <c r="D552" s="14"/>
      <c r="E552" s="155"/>
      <c r="F552" s="10"/>
      <c r="G552" s="17"/>
      <c r="H552" s="10"/>
      <c r="I552" s="17"/>
      <c r="J552" s="82"/>
      <c r="K552" s="340"/>
      <c r="L552" s="344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>
      <c r="A553" s="10" t="s">
        <v>768</v>
      </c>
      <c r="B553" s="226" t="s">
        <v>84</v>
      </c>
      <c r="C553" s="10" t="s">
        <v>97</v>
      </c>
      <c r="D553" s="14"/>
      <c r="E553" s="155"/>
      <c r="F553" s="10"/>
      <c r="G553" s="17"/>
      <c r="H553" s="10"/>
      <c r="I553" s="17"/>
      <c r="J553" s="82"/>
      <c r="K553" s="340"/>
      <c r="L553" s="344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>
      <c r="A554" s="10" t="s">
        <v>768</v>
      </c>
      <c r="B554" s="226" t="s">
        <v>84</v>
      </c>
      <c r="C554" s="10" t="s">
        <v>97</v>
      </c>
      <c r="D554" s="14"/>
      <c r="E554" s="155"/>
      <c r="F554" s="10"/>
      <c r="G554" s="17"/>
      <c r="H554" s="10"/>
      <c r="I554" s="17"/>
      <c r="J554" s="82"/>
      <c r="K554" s="340"/>
      <c r="L554" s="344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>
      <c r="A555" s="10" t="s">
        <v>768</v>
      </c>
      <c r="B555" s="226" t="s">
        <v>84</v>
      </c>
      <c r="C555" s="10" t="s">
        <v>97</v>
      </c>
      <c r="D555" s="14"/>
      <c r="E555" s="155"/>
      <c r="F555" s="10"/>
      <c r="G555" s="17"/>
      <c r="H555" s="10"/>
      <c r="I555" s="17"/>
      <c r="J555" s="82"/>
      <c r="K555" s="340"/>
      <c r="L555" s="344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>
      <c r="A556" s="10" t="s">
        <v>768</v>
      </c>
      <c r="B556" s="226" t="s">
        <v>84</v>
      </c>
      <c r="C556" s="10" t="s">
        <v>97</v>
      </c>
      <c r="D556" s="14"/>
      <c r="E556" s="155"/>
      <c r="F556" s="10"/>
      <c r="G556" s="17"/>
      <c r="H556" s="10"/>
      <c r="I556" s="17"/>
      <c r="J556" s="82"/>
      <c r="K556" s="340"/>
      <c r="L556" s="344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>
      <c r="A557" s="10" t="s">
        <v>768</v>
      </c>
      <c r="B557" s="226" t="s">
        <v>84</v>
      </c>
      <c r="C557" s="10" t="s">
        <v>97</v>
      </c>
      <c r="D557" s="14"/>
      <c r="E557" s="155"/>
      <c r="F557" s="10"/>
      <c r="G557" s="17"/>
      <c r="H557" s="10"/>
      <c r="I557" s="17"/>
      <c r="J557" s="82"/>
      <c r="K557" s="340"/>
      <c r="L557" s="344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>
      <c r="A558" s="10" t="s">
        <v>768</v>
      </c>
      <c r="B558" s="226" t="s">
        <v>84</v>
      </c>
      <c r="C558" s="10" t="s">
        <v>97</v>
      </c>
      <c r="D558" s="14"/>
      <c r="E558" s="155"/>
      <c r="F558" s="10"/>
      <c r="G558" s="17"/>
      <c r="H558" s="10"/>
      <c r="I558" s="17"/>
      <c r="J558" s="82"/>
      <c r="K558" s="340"/>
      <c r="L558" s="344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>
      <c r="A559" s="10" t="s">
        <v>768</v>
      </c>
      <c r="B559" s="226" t="s">
        <v>84</v>
      </c>
      <c r="C559" s="10" t="s">
        <v>97</v>
      </c>
      <c r="D559" s="14"/>
      <c r="E559" s="155"/>
      <c r="F559" s="10"/>
      <c r="G559" s="17"/>
      <c r="H559" s="10"/>
      <c r="I559" s="17"/>
      <c r="J559" s="82"/>
      <c r="K559" s="340"/>
      <c r="L559" s="344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>
      <c r="A560" s="10" t="s">
        <v>768</v>
      </c>
      <c r="B560" s="226" t="s">
        <v>84</v>
      </c>
      <c r="C560" s="10"/>
      <c r="D560" s="14"/>
      <c r="E560" s="155"/>
      <c r="F560" s="10"/>
      <c r="G560" s="17"/>
      <c r="H560" s="10"/>
      <c r="I560" s="17"/>
      <c r="J560" s="82"/>
      <c r="K560" s="340"/>
      <c r="L560" s="344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>
      <c r="A561" s="10" t="s">
        <v>768</v>
      </c>
      <c r="B561" s="226" t="s">
        <v>84</v>
      </c>
      <c r="C561" s="10"/>
      <c r="D561" s="14"/>
      <c r="E561" s="155"/>
      <c r="F561" s="10"/>
      <c r="G561" s="17"/>
      <c r="H561" s="10"/>
      <c r="I561" s="17"/>
      <c r="J561" s="82"/>
      <c r="K561" s="340"/>
      <c r="L561" s="344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>
      <c r="A562" s="10" t="s">
        <v>768</v>
      </c>
      <c r="B562" s="226" t="s">
        <v>84</v>
      </c>
      <c r="C562" s="10"/>
      <c r="D562" s="14"/>
      <c r="E562" s="155"/>
      <c r="F562" s="10"/>
      <c r="G562" s="17"/>
      <c r="H562" s="10"/>
      <c r="I562" s="17"/>
      <c r="J562" s="82"/>
      <c r="K562" s="340"/>
      <c r="L562" s="344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>
      <c r="A563" s="10" t="s">
        <v>768</v>
      </c>
      <c r="B563" s="226" t="s">
        <v>84</v>
      </c>
      <c r="C563" s="10"/>
      <c r="D563" s="14"/>
      <c r="E563" s="155"/>
      <c r="F563" s="10"/>
      <c r="G563" s="17"/>
      <c r="H563" s="10"/>
      <c r="I563" s="17"/>
      <c r="J563" s="82"/>
      <c r="K563" s="340"/>
      <c r="L563" s="344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>
      <c r="A564" s="10" t="s">
        <v>768</v>
      </c>
      <c r="B564" s="226" t="s">
        <v>84</v>
      </c>
      <c r="C564" s="10"/>
      <c r="D564" s="14"/>
      <c r="E564" s="155"/>
      <c r="F564" s="10"/>
      <c r="G564" s="17"/>
      <c r="H564" s="10"/>
      <c r="I564" s="17"/>
      <c r="J564" s="82"/>
      <c r="K564" s="340"/>
      <c r="L564" s="344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>
      <c r="A565" s="10" t="s">
        <v>768</v>
      </c>
      <c r="B565" s="226" t="s">
        <v>84</v>
      </c>
      <c r="C565" s="10"/>
      <c r="D565" s="14"/>
      <c r="E565" s="155"/>
      <c r="F565" s="10"/>
      <c r="G565" s="17"/>
      <c r="H565" s="10"/>
      <c r="I565" s="17"/>
      <c r="J565" s="82"/>
      <c r="K565" s="340"/>
      <c r="L565" s="344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>
      <c r="A566" s="10" t="s">
        <v>768</v>
      </c>
      <c r="B566" s="226" t="s">
        <v>84</v>
      </c>
      <c r="C566" s="10"/>
      <c r="D566" s="14"/>
      <c r="E566" s="155"/>
      <c r="F566" s="10"/>
      <c r="G566" s="17"/>
      <c r="H566" s="10"/>
      <c r="I566" s="17"/>
      <c r="J566" s="82"/>
      <c r="K566" s="340"/>
      <c r="L566" s="344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>
      <c r="A567" s="10" t="s">
        <v>768</v>
      </c>
      <c r="B567" s="226" t="s">
        <v>84</v>
      </c>
      <c r="C567" s="10"/>
      <c r="D567" s="14"/>
      <c r="E567" s="155"/>
      <c r="F567" s="10"/>
      <c r="G567" s="17"/>
      <c r="H567" s="10"/>
      <c r="I567" s="17"/>
      <c r="J567" s="82"/>
      <c r="K567" s="340"/>
      <c r="L567" s="344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>
      <c r="A568" s="10" t="s">
        <v>768</v>
      </c>
      <c r="B568" s="226" t="s">
        <v>84</v>
      </c>
      <c r="C568" s="10"/>
      <c r="D568" s="14"/>
      <c r="E568" s="155"/>
      <c r="F568" s="10"/>
      <c r="G568" s="17"/>
      <c r="H568" s="10"/>
      <c r="I568" s="17"/>
      <c r="J568" s="82"/>
      <c r="K568" s="340"/>
      <c r="L568" s="344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>
      <c r="A569" s="10" t="s">
        <v>768</v>
      </c>
      <c r="B569" s="226" t="s">
        <v>84</v>
      </c>
      <c r="C569" s="10"/>
      <c r="D569" s="14"/>
      <c r="E569" s="155"/>
      <c r="F569" s="10"/>
      <c r="G569" s="17"/>
      <c r="H569" s="10"/>
      <c r="I569" s="17"/>
      <c r="J569" s="82"/>
      <c r="K569" s="340"/>
      <c r="L569" s="344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>
      <c r="A570" s="10" t="s">
        <v>768</v>
      </c>
      <c r="B570" s="226" t="s">
        <v>84</v>
      </c>
      <c r="C570" s="10"/>
      <c r="D570" s="14"/>
      <c r="E570" s="155"/>
      <c r="F570" s="10"/>
      <c r="G570" s="17"/>
      <c r="H570" s="10"/>
      <c r="I570" s="17"/>
      <c r="J570" s="82"/>
      <c r="K570" s="340"/>
      <c r="L570" s="344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P/C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>
      <c r="A571" s="10" t="s">
        <v>768</v>
      </c>
      <c r="B571" s="226" t="s">
        <v>84</v>
      </c>
      <c r="C571" s="10"/>
      <c r="D571" s="14"/>
      <c r="E571" s="155"/>
      <c r="F571" s="10"/>
      <c r="G571" s="17"/>
      <c r="H571" s="10"/>
      <c r="I571" s="17"/>
      <c r="J571" s="82"/>
      <c r="K571" s="340"/>
      <c r="L571" s="344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32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>
      <c r="A572" s="10" t="s">
        <v>768</v>
      </c>
      <c r="B572" s="226" t="s">
        <v>84</v>
      </c>
      <c r="C572" s="10"/>
      <c r="D572" s="14"/>
      <c r="E572" s="155"/>
      <c r="F572" s="10"/>
      <c r="G572" s="17"/>
      <c r="H572" s="10"/>
      <c r="I572" s="17"/>
      <c r="J572" s="82"/>
      <c r="K572" s="340"/>
      <c r="L572" s="344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80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>
      <c r="A573" s="10" t="s">
        <v>768</v>
      </c>
      <c r="B573" s="226" t="s">
        <v>84</v>
      </c>
      <c r="C573" s="10"/>
      <c r="D573" s="14"/>
      <c r="E573" s="155"/>
      <c r="F573" s="10"/>
      <c r="G573" s="17"/>
      <c r="H573" s="10"/>
      <c r="I573" s="17"/>
      <c r="J573" s="82"/>
      <c r="K573" s="340"/>
      <c r="L573" s="344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160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>
      <c r="A574" s="10" t="s">
        <v>768</v>
      </c>
      <c r="B574" s="226" t="s">
        <v>84</v>
      </c>
      <c r="C574" s="10"/>
      <c r="D574" s="14"/>
      <c r="E574" s="155"/>
      <c r="F574" s="10"/>
      <c r="G574" s="17"/>
      <c r="H574" s="10"/>
      <c r="I574" s="17"/>
      <c r="J574" s="82"/>
      <c r="K574" s="340"/>
      <c r="L574" s="344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>
      <c r="A575" s="10" t="s">
        <v>768</v>
      </c>
      <c r="B575" s="226" t="s">
        <v>84</v>
      </c>
      <c r="C575" s="10"/>
      <c r="D575" s="14"/>
      <c r="E575" s="155"/>
      <c r="F575" s="10"/>
      <c r="G575" s="17"/>
      <c r="H575" s="10"/>
      <c r="I575" s="17"/>
      <c r="J575" s="82"/>
      <c r="K575" s="340"/>
      <c r="L575" s="344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4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>
      <c r="A576" s="10" t="s">
        <v>768</v>
      </c>
      <c r="B576" s="226" t="s">
        <v>84</v>
      </c>
      <c r="C576" s="10"/>
      <c r="D576" s="14"/>
      <c r="E576" s="155"/>
      <c r="F576" s="10"/>
      <c r="G576" s="17"/>
      <c r="H576" s="10"/>
      <c r="I576" s="17"/>
      <c r="J576" s="82"/>
      <c r="K576" s="340"/>
      <c r="L576" s="344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4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>
      <c r="A577" s="10" t="s">
        <v>768</v>
      </c>
      <c r="B577" s="226" t="s">
        <v>84</v>
      </c>
      <c r="C577" s="10"/>
      <c r="D577" s="14"/>
      <c r="E577" s="155"/>
      <c r="F577" s="10"/>
      <c r="G577" s="17"/>
      <c r="H577" s="10"/>
      <c r="I577" s="17"/>
      <c r="J577" s="82"/>
      <c r="K577" s="340"/>
      <c r="L577" s="344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16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>
      <c r="A578" s="10" t="s">
        <v>768</v>
      </c>
      <c r="B578" s="226" t="s">
        <v>84</v>
      </c>
      <c r="C578" s="10"/>
      <c r="D578" s="14"/>
      <c r="E578" s="155"/>
      <c r="F578" s="10"/>
      <c r="G578" s="17"/>
      <c r="H578" s="10"/>
      <c r="I578" s="17"/>
      <c r="J578" s="82"/>
      <c r="K578" s="340"/>
      <c r="L578" s="344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16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>
      <c r="A579" s="10" t="s">
        <v>768</v>
      </c>
      <c r="B579" s="226" t="s">
        <v>84</v>
      </c>
      <c r="C579" s="10"/>
      <c r="D579" s="14"/>
      <c r="E579" s="155"/>
      <c r="F579" s="10"/>
      <c r="G579" s="17"/>
      <c r="H579" s="10"/>
      <c r="I579" s="17"/>
      <c r="J579" s="82"/>
      <c r="K579" s="340"/>
      <c r="L579" s="344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>
      <c r="A580" s="10" t="s">
        <v>768</v>
      </c>
      <c r="B580" s="226" t="s">
        <v>84</v>
      </c>
      <c r="C580" s="10"/>
      <c r="D580" s="14"/>
      <c r="E580" s="155"/>
      <c r="F580" s="10"/>
      <c r="G580" s="17"/>
      <c r="H580" s="10"/>
      <c r="I580" s="17"/>
      <c r="J580" s="82"/>
      <c r="K580" s="340"/>
      <c r="L580" s="344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16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>
      <c r="A581" s="10" t="s">
        <v>768</v>
      </c>
      <c r="B581" s="226" t="s">
        <v>84</v>
      </c>
      <c r="C581" s="10"/>
      <c r="D581" s="14"/>
      <c r="E581" s="155"/>
      <c r="F581" s="10"/>
      <c r="G581" s="17"/>
      <c r="H581" s="10"/>
      <c r="I581" s="17"/>
      <c r="J581" s="82"/>
      <c r="K581" s="340"/>
      <c r="L581" s="344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20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>
      <c r="A582" s="10" t="s">
        <v>768</v>
      </c>
      <c r="B582" s="226" t="s">
        <v>84</v>
      </c>
      <c r="C582" s="10"/>
      <c r="D582" s="14"/>
      <c r="E582" s="155"/>
      <c r="F582" s="10"/>
      <c r="G582" s="17"/>
      <c r="H582" s="10"/>
      <c r="I582" s="17"/>
      <c r="J582" s="82"/>
      <c r="K582" s="340"/>
      <c r="L582" s="344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20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>
      <c r="A583" s="10" t="s">
        <v>768</v>
      </c>
      <c r="B583" s="226" t="s">
        <v>84</v>
      </c>
      <c r="C583" s="10"/>
      <c r="D583" s="14"/>
      <c r="E583" s="155"/>
      <c r="F583" s="10"/>
      <c r="G583" s="17"/>
      <c r="H583" s="10"/>
      <c r="I583" s="17"/>
      <c r="J583" s="82"/>
      <c r="K583" s="340"/>
      <c r="L583" s="344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8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>
      <c r="A584" s="10" t="s">
        <v>768</v>
      </c>
      <c r="B584" s="226" t="s">
        <v>84</v>
      </c>
      <c r="C584" s="10"/>
      <c r="D584" s="14"/>
      <c r="E584" s="155"/>
      <c r="F584" s="10"/>
      <c r="G584" s="17"/>
      <c r="H584" s="10"/>
      <c r="I584" s="17"/>
      <c r="J584" s="82"/>
      <c r="K584" s="340"/>
      <c r="L584" s="344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8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>
      <c r="A585" s="10" t="s">
        <v>768</v>
      </c>
      <c r="B585" s="226" t="s">
        <v>84</v>
      </c>
      <c r="C585" s="10"/>
      <c r="D585" s="14"/>
      <c r="E585" s="155"/>
      <c r="F585" s="10"/>
      <c r="G585" s="17"/>
      <c r="H585" s="10"/>
      <c r="I585" s="17"/>
      <c r="J585" s="82"/>
      <c r="K585" s="340"/>
      <c r="L585" s="344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4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>
      <c r="A586" s="10"/>
      <c r="B586" s="226"/>
      <c r="C586" s="10"/>
      <c r="D586" s="14"/>
      <c r="E586" s="155"/>
      <c r="F586" s="10"/>
      <c r="G586" s="17"/>
      <c r="H586" s="10"/>
      <c r="I586" s="17"/>
      <c r="J586" s="82"/>
      <c r="K586" s="340"/>
      <c r="L586" s="344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>
      <c r="A587" s="10"/>
      <c r="B587" s="226"/>
      <c r="C587" s="10"/>
      <c r="D587" s="14"/>
      <c r="E587" s="155"/>
      <c r="F587" s="10"/>
      <c r="G587" s="17"/>
      <c r="H587" s="10"/>
      <c r="I587" s="17"/>
      <c r="J587" s="82"/>
      <c r="K587" s="340"/>
      <c r="L587" s="344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>
      <c r="A588" s="10"/>
      <c r="B588" s="226"/>
      <c r="C588" s="10"/>
      <c r="D588" s="14"/>
      <c r="E588" s="155"/>
      <c r="F588" s="10"/>
      <c r="G588" s="17"/>
      <c r="H588" s="10"/>
      <c r="I588" s="17"/>
      <c r="J588" s="82"/>
      <c r="K588" s="340"/>
      <c r="L588" s="344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>
      <c r="A589" s="17"/>
      <c r="B589" s="227"/>
      <c r="C589" s="17"/>
      <c r="D589" s="18"/>
      <c r="E589" s="235"/>
      <c r="F589" s="17"/>
      <c r="G589" s="17"/>
      <c r="H589" s="10"/>
      <c r="I589" s="17"/>
      <c r="J589" s="82"/>
      <c r="K589" s="340"/>
      <c r="L589" s="344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>
      <c r="A590" s="10" t="s">
        <v>255</v>
      </c>
      <c r="B590" s="226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5" t="s">
        <v>257</v>
      </c>
      <c r="F590" s="10" t="s">
        <v>9</v>
      </c>
      <c r="G590" s="17"/>
      <c r="H590" s="10"/>
      <c r="I590" s="17"/>
      <c r="J590" s="82"/>
      <c r="K590" s="341">
        <v>0.521208</v>
      </c>
      <c r="L590" s="344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32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>
      <c r="A591" s="10" t="s">
        <v>255</v>
      </c>
      <c r="B591" s="226" t="s">
        <v>86</v>
      </c>
      <c r="C591" s="10" t="s">
        <v>97</v>
      </c>
      <c r="D591" s="14" t="str">
        <v>Black Aluminium Mesh 1.6mm</v>
      </c>
      <c r="E591" s="155" t="s">
        <v>269</v>
      </c>
      <c r="F591" s="11"/>
      <c r="G591" s="17"/>
      <c r="H591" s="10"/>
      <c r="I591" s="17"/>
      <c r="J591" s="82"/>
      <c r="K591" s="340"/>
      <c r="L591" s="344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80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>
      <c r="A592" s="10" t="s">
        <v>255</v>
      </c>
      <c r="B592" s="226" t="s">
        <v>86</v>
      </c>
      <c r="C592" s="10" t="s">
        <v>97</v>
      </c>
      <c r="D592" s="14" t="str">
        <v>Black Aluminium Mesh 1.8mm</v>
      </c>
      <c r="E592" s="155"/>
      <c r="F592" s="10"/>
      <c r="G592" s="17"/>
      <c r="H592" s="10"/>
      <c r="I592" s="17"/>
      <c r="J592" s="82"/>
      <c r="K592" s="340"/>
      <c r="L592" s="344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>
      <c r="A593" s="10" t="s">
        <v>255</v>
      </c>
      <c r="B593" s="226" t="s">
        <v>86</v>
      </c>
      <c r="C593" s="10" t="s">
        <v>97</v>
      </c>
      <c r="D593" s="14" t="str">
        <v>Black Stainless Steel Mesh 1.0mm</v>
      </c>
      <c r="E593" s="155"/>
      <c r="F593" s="10"/>
      <c r="G593" s="17"/>
      <c r="H593" s="10"/>
      <c r="I593" s="17"/>
      <c r="J593" s="82"/>
      <c r="K593" s="340"/>
      <c r="L593" s="344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24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>
      <c r="A594" s="10" t="s">
        <v>255</v>
      </c>
      <c r="B594" s="226" t="s">
        <v>86</v>
      </c>
      <c r="C594" s="10" t="s">
        <v>97</v>
      </c>
      <c r="D594" s="14" t="str">
        <v/>
      </c>
      <c r="E594" s="155"/>
      <c r="F594" s="10"/>
      <c r="G594" s="17"/>
      <c r="H594" s="10"/>
      <c r="I594" s="17"/>
      <c r="J594" s="82"/>
      <c r="K594" s="340"/>
      <c r="L594" s="344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32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>
      <c r="A595" s="10" t="s">
        <v>255</v>
      </c>
      <c r="B595" s="226" t="s">
        <v>86</v>
      </c>
      <c r="C595" s="10" t="s">
        <v>97</v>
      </c>
      <c r="D595" s="14" t="str">
        <v/>
      </c>
      <c r="E595" s="155"/>
      <c r="F595" s="10"/>
      <c r="G595" s="17"/>
      <c r="H595" s="10"/>
      <c r="I595" s="17"/>
      <c r="J595" s="82"/>
      <c r="K595" s="340"/>
      <c r="L595" s="344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>
      <c r="A596" s="10" t="s">
        <v>255</v>
      </c>
      <c r="B596" s="226" t="s">
        <v>86</v>
      </c>
      <c r="C596" s="10" t="s">
        <v>97</v>
      </c>
      <c r="D596" s="14" t="str">
        <v/>
      </c>
      <c r="E596" s="155"/>
      <c r="F596" s="10"/>
      <c r="G596" s="17"/>
      <c r="H596" s="10"/>
      <c r="I596" s="17"/>
      <c r="J596" s="82"/>
      <c r="K596" s="340"/>
      <c r="L596" s="344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>
      <c r="A597" s="10" t="s">
        <v>255</v>
      </c>
      <c r="B597" s="226" t="s">
        <v>86</v>
      </c>
      <c r="C597" s="10" t="s">
        <v>97</v>
      </c>
      <c r="D597" s="14"/>
      <c r="E597" s="155"/>
      <c r="F597" s="10"/>
      <c r="G597" s="17"/>
      <c r="H597" s="10"/>
      <c r="I597" s="17"/>
      <c r="J597" s="82"/>
      <c r="K597" s="340"/>
      <c r="L597" s="344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>
      <c r="A598" s="10" t="s">
        <v>255</v>
      </c>
      <c r="B598" s="226" t="s">
        <v>86</v>
      </c>
      <c r="C598" s="10" t="s">
        <v>97</v>
      </c>
      <c r="D598" s="14"/>
      <c r="E598" s="155"/>
      <c r="F598" s="10"/>
      <c r="G598" s="17"/>
      <c r="H598" s="10"/>
      <c r="I598" s="17"/>
      <c r="J598" s="82"/>
      <c r="K598" s="340"/>
      <c r="L598" s="344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Breezway 102mm Glass Infill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>
      <c r="A599" s="10" t="s">
        <v>255</v>
      </c>
      <c r="B599" s="226" t="s">
        <v>86</v>
      </c>
      <c r="C599" s="10" t="s">
        <v>97</v>
      </c>
      <c r="D599" s="14"/>
      <c r="E599" s="155"/>
      <c r="F599" s="10"/>
      <c r="G599" s="17"/>
      <c r="H599" s="10"/>
      <c r="I599" s="17"/>
      <c r="J599" s="82"/>
      <c r="K599" s="340"/>
      <c r="L599" s="344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>
      <c r="A600" s="10" t="s">
        <v>255</v>
      </c>
      <c r="B600" s="226" t="s">
        <v>86</v>
      </c>
      <c r="C600" s="10" t="s">
        <v>97</v>
      </c>
      <c r="D600" s="14"/>
      <c r="E600" s="155"/>
      <c r="F600" s="10"/>
      <c r="G600" s="17"/>
      <c r="H600" s="10"/>
      <c r="I600" s="17"/>
      <c r="J600" s="82"/>
      <c r="K600" s="340"/>
      <c r="L600" s="344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>
      <c r="A601" s="10" t="s">
        <v>255</v>
      </c>
      <c r="B601" s="226" t="s">
        <v>86</v>
      </c>
      <c r="C601" s="10" t="s">
        <v>97</v>
      </c>
      <c r="D601" s="14"/>
      <c r="E601" s="155"/>
      <c r="F601" s="10"/>
      <c r="G601" s="17"/>
      <c r="H601" s="10"/>
      <c r="I601" s="17"/>
      <c r="J601" s="82"/>
      <c r="K601" s="340"/>
      <c r="L601" s="344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>
      <c r="A602" s="10" t="s">
        <v>255</v>
      </c>
      <c r="B602" s="226" t="s">
        <v>86</v>
      </c>
      <c r="C602" s="10" t="s">
        <v>97</v>
      </c>
      <c r="D602" s="14"/>
      <c r="E602" s="155"/>
      <c r="F602" s="10"/>
      <c r="G602" s="17"/>
      <c r="H602" s="10"/>
      <c r="I602" s="17"/>
      <c r="J602" s="82"/>
      <c r="K602" s="340"/>
      <c r="L602" s="344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>
      <c r="A603" s="10" t="s">
        <v>255</v>
      </c>
      <c r="B603" s="226" t="s">
        <v>86</v>
      </c>
      <c r="C603" s="10" t="s">
        <v>97</v>
      </c>
      <c r="D603" s="14"/>
      <c r="E603" s="155"/>
      <c r="F603" s="10"/>
      <c r="G603" s="17"/>
      <c r="H603" s="10"/>
      <c r="I603" s="17"/>
      <c r="J603" s="82"/>
      <c r="K603" s="340"/>
      <c r="L603" s="344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>
      <c r="A604" s="10" t="s">
        <v>255</v>
      </c>
      <c r="B604" s="226" t="s">
        <v>86</v>
      </c>
      <c r="C604" s="10" t="s">
        <v>97</v>
      </c>
      <c r="D604" s="14"/>
      <c r="E604" s="155"/>
      <c r="F604" s="10"/>
      <c r="G604" s="17"/>
      <c r="H604" s="10"/>
      <c r="I604" s="17"/>
      <c r="J604" s="82"/>
      <c r="K604" s="340"/>
      <c r="L604" s="344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>
      <c r="A605" s="10" t="s">
        <v>255</v>
      </c>
      <c r="B605" s="226" t="s">
        <v>86</v>
      </c>
      <c r="C605" s="10" t="s">
        <v>97</v>
      </c>
      <c r="D605" s="14"/>
      <c r="E605" s="155"/>
      <c r="F605" s="10"/>
      <c r="G605" s="17"/>
      <c r="H605" s="10"/>
      <c r="I605" s="17"/>
      <c r="J605" s="82"/>
      <c r="K605" s="340"/>
      <c r="L605" s="344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>
      <c r="A606" s="10" t="s">
        <v>255</v>
      </c>
      <c r="B606" s="226" t="s">
        <v>86</v>
      </c>
      <c r="C606" s="10" t="s">
        <v>97</v>
      </c>
      <c r="D606" s="14"/>
      <c r="E606" s="155"/>
      <c r="F606" s="10"/>
      <c r="G606" s="17"/>
      <c r="H606" s="10"/>
      <c r="I606" s="17"/>
      <c r="J606" s="82"/>
      <c r="K606" s="340"/>
      <c r="L606" s="344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>
      <c r="A607" s="10" t="s">
        <v>255</v>
      </c>
      <c r="B607" s="226" t="s">
        <v>86</v>
      </c>
      <c r="C607" s="10"/>
      <c r="D607" s="14"/>
      <c r="E607" s="155"/>
      <c r="F607" s="10"/>
      <c r="G607" s="17"/>
      <c r="H607" s="10"/>
      <c r="I607" s="17"/>
      <c r="J607" s="82"/>
      <c r="K607" s="340"/>
      <c r="L607" s="344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>
      <c r="A608" s="10" t="s">
        <v>255</v>
      </c>
      <c r="B608" s="226" t="s">
        <v>86</v>
      </c>
      <c r="C608" s="10"/>
      <c r="D608" s="14"/>
      <c r="E608" s="155"/>
      <c r="F608" s="10"/>
      <c r="G608" s="17"/>
      <c r="H608" s="10"/>
      <c r="I608" s="17"/>
      <c r="J608" s="82"/>
      <c r="K608" s="340"/>
      <c r="L608" s="344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>
      <c r="A609" s="10" t="s">
        <v>255</v>
      </c>
      <c r="B609" s="226" t="s">
        <v>86</v>
      </c>
      <c r="C609" s="10"/>
      <c r="D609" s="14"/>
      <c r="E609" s="155"/>
      <c r="F609" s="10"/>
      <c r="G609" s="17"/>
      <c r="H609" s="10"/>
      <c r="I609" s="17"/>
      <c r="J609" s="82"/>
      <c r="K609" s="340"/>
      <c r="L609" s="344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>
      <c r="A610" s="10" t="s">
        <v>255</v>
      </c>
      <c r="B610" s="226" t="s">
        <v>86</v>
      </c>
      <c r="C610" s="10"/>
      <c r="D610" s="14"/>
      <c r="E610" s="155"/>
      <c r="F610" s="10"/>
      <c r="G610" s="17"/>
      <c r="H610" s="10"/>
      <c r="I610" s="17"/>
      <c r="J610" s="82"/>
      <c r="K610" s="340"/>
      <c r="L610" s="344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>
      <c r="A611" s="10" t="s">
        <v>255</v>
      </c>
      <c r="B611" s="226" t="s">
        <v>86</v>
      </c>
      <c r="C611" s="10"/>
      <c r="D611" s="14"/>
      <c r="E611" s="155"/>
      <c r="F611" s="10"/>
      <c r="G611" s="17"/>
      <c r="H611" s="10"/>
      <c r="I611" s="17"/>
      <c r="J611" s="82"/>
      <c r="K611" s="340"/>
      <c r="L611" s="344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>
      <c r="A612" s="10" t="s">
        <v>255</v>
      </c>
      <c r="B612" s="226" t="s">
        <v>86</v>
      </c>
      <c r="C612" s="10"/>
      <c r="D612" s="14"/>
      <c r="E612" s="155"/>
      <c r="F612" s="10"/>
      <c r="G612" s="17"/>
      <c r="H612" s="10"/>
      <c r="I612" s="17"/>
      <c r="J612" s="82"/>
      <c r="K612" s="340"/>
      <c r="L612" s="344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>
      <c r="A613" s="10" t="s">
        <v>255</v>
      </c>
      <c r="B613" s="226" t="s">
        <v>86</v>
      </c>
      <c r="C613" s="10"/>
      <c r="D613" s="14"/>
      <c r="E613" s="155"/>
      <c r="F613" s="10"/>
      <c r="G613" s="17"/>
      <c r="H613" s="10"/>
      <c r="I613" s="17"/>
      <c r="J613" s="82"/>
      <c r="K613" s="340"/>
      <c r="L613" s="344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>
      <c r="A614" s="10" t="s">
        <v>255</v>
      </c>
      <c r="B614" s="226" t="s">
        <v>86</v>
      </c>
      <c r="C614" s="10"/>
      <c r="D614" s="14"/>
      <c r="E614" s="155"/>
      <c r="F614" s="10"/>
      <c r="G614" s="17"/>
      <c r="H614" s="10"/>
      <c r="I614" s="17"/>
      <c r="J614" s="82"/>
      <c r="K614" s="340"/>
      <c r="L614" s="344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>
      <c r="A615" s="10" t="s">
        <v>255</v>
      </c>
      <c r="B615" s="226" t="s">
        <v>86</v>
      </c>
      <c r="C615" s="10"/>
      <c r="D615" s="14"/>
      <c r="E615" s="155"/>
      <c r="F615" s="10"/>
      <c r="G615" s="17"/>
      <c r="H615" s="10"/>
      <c r="I615" s="17"/>
      <c r="J615" s="82"/>
      <c r="K615" s="340"/>
      <c r="L615" s="344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>
      <c r="A616" s="10" t="s">
        <v>255</v>
      </c>
      <c r="B616" s="226" t="s">
        <v>86</v>
      </c>
      <c r="C616" s="10"/>
      <c r="D616" s="14"/>
      <c r="E616" s="155"/>
      <c r="F616" s="10"/>
      <c r="G616" s="17"/>
      <c r="H616" s="10"/>
      <c r="I616" s="17"/>
      <c r="J616" s="82"/>
      <c r="K616" s="340"/>
      <c r="L616" s="344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>
      <c r="A617" s="10" t="s">
        <v>255</v>
      </c>
      <c r="B617" s="226" t="s">
        <v>86</v>
      </c>
      <c r="C617" s="10"/>
      <c r="D617" s="14"/>
      <c r="E617" s="155"/>
      <c r="F617" s="10"/>
      <c r="G617" s="17"/>
      <c r="H617" s="10"/>
      <c r="I617" s="17"/>
      <c r="J617" s="82"/>
      <c r="K617" s="340"/>
      <c r="L617" s="344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>
      <c r="A618" s="10" t="s">
        <v>255</v>
      </c>
      <c r="B618" s="226" t="s">
        <v>86</v>
      </c>
      <c r="C618" s="10"/>
      <c r="D618" s="14"/>
      <c r="E618" s="155"/>
      <c r="F618" s="10"/>
      <c r="G618" s="17"/>
      <c r="H618" s="10"/>
      <c r="I618" s="17"/>
      <c r="J618" s="82"/>
      <c r="K618" s="340"/>
      <c r="L618" s="344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>
      <c r="A619" s="10" t="s">
        <v>255</v>
      </c>
      <c r="B619" s="226" t="s">
        <v>86</v>
      </c>
      <c r="C619" s="10"/>
      <c r="D619" s="14"/>
      <c r="E619" s="155"/>
      <c r="F619" s="10"/>
      <c r="G619" s="17"/>
      <c r="H619" s="10"/>
      <c r="I619" s="17"/>
      <c r="J619" s="82"/>
      <c r="K619" s="340"/>
      <c r="L619" s="344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P/C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>
      <c r="A620" s="10" t="s">
        <v>255</v>
      </c>
      <c r="B620" s="226" t="s">
        <v>86</v>
      </c>
      <c r="C620" s="10"/>
      <c r="D620" s="14"/>
      <c r="E620" s="155"/>
      <c r="F620" s="10"/>
      <c r="G620" s="17"/>
      <c r="H620" s="10"/>
      <c r="I620" s="17"/>
      <c r="J620" s="82"/>
      <c r="K620" s="340"/>
      <c r="L620" s="344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32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>
      <c r="A621" s="10" t="s">
        <v>255</v>
      </c>
      <c r="B621" s="226" t="s">
        <v>86</v>
      </c>
      <c r="C621" s="10"/>
      <c r="D621" s="14"/>
      <c r="E621" s="155"/>
      <c r="F621" s="10"/>
      <c r="G621" s="17"/>
      <c r="H621" s="10"/>
      <c r="I621" s="17"/>
      <c r="J621" s="82"/>
      <c r="K621" s="340"/>
      <c r="L621" s="344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80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>
      <c r="A622" s="10" t="s">
        <v>255</v>
      </c>
      <c r="B622" s="226" t="s">
        <v>86</v>
      </c>
      <c r="C622" s="10"/>
      <c r="D622" s="14"/>
      <c r="E622" s="155"/>
      <c r="F622" s="10"/>
      <c r="G622" s="17"/>
      <c r="H622" s="10"/>
      <c r="I622" s="17"/>
      <c r="J622" s="82"/>
      <c r="K622" s="340"/>
      <c r="L622" s="344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160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>
      <c r="A623" s="10" t="s">
        <v>255</v>
      </c>
      <c r="B623" s="226" t="s">
        <v>86</v>
      </c>
      <c r="C623" s="10"/>
      <c r="D623" s="14"/>
      <c r="E623" s="155"/>
      <c r="F623" s="10"/>
      <c r="G623" s="17"/>
      <c r="H623" s="10"/>
      <c r="I623" s="17"/>
      <c r="J623" s="82"/>
      <c r="K623" s="340"/>
      <c r="L623" s="344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>
      <c r="A624" s="10" t="s">
        <v>255</v>
      </c>
      <c r="B624" s="226" t="s">
        <v>86</v>
      </c>
      <c r="C624" s="10"/>
      <c r="D624" s="14"/>
      <c r="E624" s="155"/>
      <c r="F624" s="10"/>
      <c r="G624" s="17"/>
      <c r="H624" s="10"/>
      <c r="I624" s="17"/>
      <c r="J624" s="82"/>
      <c r="K624" s="340"/>
      <c r="L624" s="344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4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>
      <c r="A625" s="10" t="s">
        <v>255</v>
      </c>
      <c r="B625" s="226" t="s">
        <v>86</v>
      </c>
      <c r="C625" s="10"/>
      <c r="D625" s="14"/>
      <c r="E625" s="155"/>
      <c r="F625" s="10"/>
      <c r="G625" s="17"/>
      <c r="H625" s="10"/>
      <c r="I625" s="17"/>
      <c r="J625" s="82"/>
      <c r="K625" s="340"/>
      <c r="L625" s="344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4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>
      <c r="A626" s="10" t="s">
        <v>255</v>
      </c>
      <c r="B626" s="226" t="s">
        <v>86</v>
      </c>
      <c r="C626" s="10"/>
      <c r="D626" s="14"/>
      <c r="E626" s="155"/>
      <c r="F626" s="10"/>
      <c r="G626" s="17"/>
      <c r="H626" s="10"/>
      <c r="I626" s="17"/>
      <c r="J626" s="82"/>
      <c r="K626" s="340"/>
      <c r="L626" s="344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16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>
      <c r="A627" s="10" t="s">
        <v>255</v>
      </c>
      <c r="B627" s="226" t="s">
        <v>86</v>
      </c>
      <c r="C627" s="10"/>
      <c r="D627" s="14"/>
      <c r="E627" s="155"/>
      <c r="F627" s="10"/>
      <c r="G627" s="17"/>
      <c r="H627" s="10"/>
      <c r="I627" s="17"/>
      <c r="J627" s="82"/>
      <c r="K627" s="340"/>
      <c r="L627" s="344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>
      <c r="A628" s="10" t="s">
        <v>255</v>
      </c>
      <c r="B628" s="226" t="s">
        <v>86</v>
      </c>
      <c r="C628" s="10"/>
      <c r="D628" s="14"/>
      <c r="E628" s="155"/>
      <c r="F628" s="10"/>
      <c r="G628" s="17"/>
      <c r="H628" s="10"/>
      <c r="I628" s="17"/>
      <c r="J628" s="82"/>
      <c r="K628" s="340"/>
      <c r="L628" s="344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20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>
      <c r="A629" s="10" t="s">
        <v>255</v>
      </c>
      <c r="B629" s="226" t="s">
        <v>86</v>
      </c>
      <c r="C629" s="10"/>
      <c r="D629" s="14"/>
      <c r="E629" s="155"/>
      <c r="F629" s="10"/>
      <c r="G629" s="17"/>
      <c r="H629" s="10"/>
      <c r="I629" s="17"/>
      <c r="J629" s="82"/>
      <c r="K629" s="340"/>
      <c r="L629" s="344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20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>
      <c r="A630" s="10" t="s">
        <v>255</v>
      </c>
      <c r="B630" s="226" t="s">
        <v>86</v>
      </c>
      <c r="C630" s="10"/>
      <c r="D630" s="14"/>
      <c r="E630" s="155"/>
      <c r="F630" s="10"/>
      <c r="G630" s="17"/>
      <c r="H630" s="10"/>
      <c r="I630" s="17"/>
      <c r="J630" s="82"/>
      <c r="K630" s="340"/>
      <c r="L630" s="344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8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>
      <c r="A631" s="10" t="s">
        <v>255</v>
      </c>
      <c r="B631" s="226" t="s">
        <v>86</v>
      </c>
      <c r="C631" s="10"/>
      <c r="D631" s="14"/>
      <c r="E631" s="155"/>
      <c r="F631" s="10"/>
      <c r="G631" s="17"/>
      <c r="H631" s="10"/>
      <c r="I631" s="17"/>
      <c r="J631" s="82"/>
      <c r="K631" s="340"/>
      <c r="L631" s="344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8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>
      <c r="A632" s="10" t="s">
        <v>255</v>
      </c>
      <c r="B632" s="226" t="s">
        <v>86</v>
      </c>
      <c r="C632" s="10"/>
      <c r="D632" s="14"/>
      <c r="E632" s="155"/>
      <c r="F632" s="10"/>
      <c r="G632" s="17"/>
      <c r="H632" s="10"/>
      <c r="I632" s="17"/>
      <c r="J632" s="82"/>
      <c r="K632" s="340"/>
      <c r="L632" s="344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4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>
      <c r="A633" s="10" t="s">
        <v>255</v>
      </c>
      <c r="B633" s="226" t="s">
        <v>86</v>
      </c>
      <c r="C633" s="10"/>
      <c r="D633" s="14"/>
      <c r="E633" s="155"/>
      <c r="F633" s="10"/>
      <c r="G633" s="17"/>
      <c r="H633" s="10"/>
      <c r="I633" s="17"/>
      <c r="J633" s="82"/>
      <c r="K633" s="340"/>
      <c r="L633" s="344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>
      <c r="A634" s="10" t="s">
        <v>255</v>
      </c>
      <c r="B634" s="226" t="s">
        <v>86</v>
      </c>
      <c r="C634" s="10"/>
      <c r="D634" s="14"/>
      <c r="E634" s="155"/>
      <c r="F634" s="10"/>
      <c r="G634" s="17"/>
      <c r="H634" s="10"/>
      <c r="I634" s="17"/>
      <c r="J634" s="82"/>
      <c r="K634" s="340"/>
      <c r="L634" s="344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>
      <c r="A635" s="10"/>
      <c r="B635" s="226"/>
      <c r="C635" s="10"/>
      <c r="D635" s="14"/>
      <c r="E635" s="155"/>
      <c r="F635" s="10"/>
      <c r="G635" s="17"/>
      <c r="H635" s="10"/>
      <c r="I635" s="17"/>
      <c r="J635" s="82"/>
      <c r="K635" s="340"/>
      <c r="L635" s="344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>
      <c r="A636" s="10"/>
      <c r="B636" s="226"/>
      <c r="C636" s="10"/>
      <c r="D636" s="14"/>
      <c r="E636" s="155"/>
      <c r="F636" s="10"/>
      <c r="G636" s="17"/>
      <c r="H636" s="10"/>
      <c r="I636" s="17"/>
      <c r="J636" s="82"/>
      <c r="K636" s="340"/>
      <c r="L636" s="344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>
      <c r="A637" s="10"/>
      <c r="B637" s="226"/>
      <c r="C637" s="10"/>
      <c r="D637" s="14"/>
      <c r="E637" s="155"/>
      <c r="F637" s="10"/>
      <c r="G637" s="17"/>
      <c r="H637" s="10"/>
      <c r="I637" s="17"/>
      <c r="J637" s="82"/>
      <c r="K637" s="340"/>
      <c r="L637" s="344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>
      <c r="A638" s="17"/>
      <c r="B638" s="227"/>
      <c r="C638" s="17"/>
      <c r="D638" s="18"/>
      <c r="E638" s="235"/>
      <c r="F638" s="17"/>
      <c r="G638" s="17"/>
      <c r="H638" s="10"/>
      <c r="I638" s="17"/>
      <c r="J638" s="82"/>
      <c r="K638" s="340"/>
      <c r="L638" s="344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>
      <c r="A639" s="10" t="s">
        <v>255</v>
      </c>
      <c r="B639" s="226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5" t="s">
        <v>257</v>
      </c>
      <c r="F639" s="10" t="s">
        <v>9</v>
      </c>
      <c r="G639" s="17"/>
      <c r="H639" s="10"/>
      <c r="I639" s="17"/>
      <c r="J639" s="82"/>
      <c r="K639" s="341">
        <v>0.521208</v>
      </c>
      <c r="L639" s="344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32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>
      <c r="A640" s="10" t="s">
        <v>255</v>
      </c>
      <c r="B640" s="226" t="s">
        <v>85</v>
      </c>
      <c r="C640" s="10" t="s">
        <v>97</v>
      </c>
      <c r="D640" s="14" t="str">
        <v>Black Aluminium Mesh 1.6mm</v>
      </c>
      <c r="E640" s="155" t="s">
        <v>269</v>
      </c>
      <c r="F640" s="11"/>
      <c r="G640" s="17"/>
      <c r="H640" s="10"/>
      <c r="I640" s="17"/>
      <c r="J640" s="82"/>
      <c r="K640" s="340"/>
      <c r="L640" s="344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80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>
      <c r="A641" s="10" t="s">
        <v>255</v>
      </c>
      <c r="B641" s="226" t="s">
        <v>85</v>
      </c>
      <c r="C641" s="10" t="s">
        <v>97</v>
      </c>
      <c r="D641" s="14" t="str">
        <v>Black Aluminium Mesh 1.8mm</v>
      </c>
      <c r="E641" s="155"/>
      <c r="F641" s="10"/>
      <c r="G641" s="17"/>
      <c r="H641" s="10"/>
      <c r="I641" s="17"/>
      <c r="J641" s="82"/>
      <c r="K641" s="340"/>
      <c r="L641" s="344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>
      <c r="A642" s="10" t="s">
        <v>255</v>
      </c>
      <c r="B642" s="226" t="s">
        <v>85</v>
      </c>
      <c r="C642" s="10" t="s">
        <v>97</v>
      </c>
      <c r="D642" s="14" t="str">
        <v>Black Stainless Steel Mesh 1.0mm</v>
      </c>
      <c r="E642" s="155"/>
      <c r="F642" s="10"/>
      <c r="G642" s="17"/>
      <c r="H642" s="10"/>
      <c r="I642" s="17"/>
      <c r="J642" s="82"/>
      <c r="K642" s="340"/>
      <c r="L642" s="344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24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>
      <c r="A643" s="10" t="s">
        <v>255</v>
      </c>
      <c r="B643" s="226" t="s">
        <v>85</v>
      </c>
      <c r="C643" s="10" t="s">
        <v>97</v>
      </c>
      <c r="D643" s="14" t="str">
        <v/>
      </c>
      <c r="E643" s="155"/>
      <c r="F643" s="10"/>
      <c r="G643" s="17"/>
      <c r="H643" s="10"/>
      <c r="I643" s="17"/>
      <c r="J643" s="82"/>
      <c r="K643" s="340"/>
      <c r="L643" s="344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>
      <c r="A644" s="10" t="s">
        <v>255</v>
      </c>
      <c r="B644" s="226" t="s">
        <v>85</v>
      </c>
      <c r="C644" s="10" t="s">
        <v>97</v>
      </c>
      <c r="D644" s="14" t="str">
        <v/>
      </c>
      <c r="E644" s="155"/>
      <c r="F644" s="10"/>
      <c r="G644" s="17"/>
      <c r="H644" s="10"/>
      <c r="I644" s="17"/>
      <c r="J644" s="82"/>
      <c r="K644" s="340"/>
      <c r="L644" s="344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32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>
      <c r="A645" s="10" t="s">
        <v>255</v>
      </c>
      <c r="B645" s="226" t="s">
        <v>85</v>
      </c>
      <c r="C645" s="10" t="s">
        <v>97</v>
      </c>
      <c r="D645" s="14" t="str">
        <v/>
      </c>
      <c r="E645" s="155"/>
      <c r="F645" s="10"/>
      <c r="G645" s="17"/>
      <c r="H645" s="10"/>
      <c r="I645" s="17"/>
      <c r="J645" s="82"/>
      <c r="K645" s="340"/>
      <c r="L645" s="344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>
      <c r="A646" s="10" t="s">
        <v>255</v>
      </c>
      <c r="B646" s="226" t="s">
        <v>85</v>
      </c>
      <c r="C646" s="10" t="s">
        <v>97</v>
      </c>
      <c r="D646" s="14"/>
      <c r="E646" s="155"/>
      <c r="F646" s="10"/>
      <c r="G646" s="17"/>
      <c r="H646" s="10"/>
      <c r="I646" s="17"/>
      <c r="J646" s="82"/>
      <c r="K646" s="340"/>
      <c r="L646" s="344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>
      <c r="A647" s="10" t="s">
        <v>255</v>
      </c>
      <c r="B647" s="226" t="s">
        <v>85</v>
      </c>
      <c r="C647" s="10" t="s">
        <v>97</v>
      </c>
      <c r="D647" s="14"/>
      <c r="E647" s="155"/>
      <c r="F647" s="10"/>
      <c r="G647" s="17"/>
      <c r="H647" s="10"/>
      <c r="I647" s="17"/>
      <c r="J647" s="82"/>
      <c r="K647" s="340"/>
      <c r="L647" s="344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Breezway 102mm Glass Infill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>
      <c r="A648" s="10" t="s">
        <v>255</v>
      </c>
      <c r="B648" s="226" t="s">
        <v>85</v>
      </c>
      <c r="C648" s="10" t="s">
        <v>97</v>
      </c>
      <c r="D648" s="14"/>
      <c r="E648" s="155"/>
      <c r="F648" s="10"/>
      <c r="G648" s="17"/>
      <c r="H648" s="10"/>
      <c r="I648" s="17"/>
      <c r="J648" s="82"/>
      <c r="K648" s="340"/>
      <c r="L648" s="344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>
      <c r="A649" s="10" t="s">
        <v>255</v>
      </c>
      <c r="B649" s="226" t="s">
        <v>85</v>
      </c>
      <c r="C649" s="10" t="s">
        <v>97</v>
      </c>
      <c r="D649" s="14"/>
      <c r="E649" s="155"/>
      <c r="F649" s="10"/>
      <c r="G649" s="17"/>
      <c r="H649" s="10"/>
      <c r="I649" s="17"/>
      <c r="J649" s="82"/>
      <c r="K649" s="340"/>
      <c r="L649" s="344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>
      <c r="A650" s="10" t="s">
        <v>255</v>
      </c>
      <c r="B650" s="226" t="s">
        <v>85</v>
      </c>
      <c r="C650" s="10" t="s">
        <v>97</v>
      </c>
      <c r="D650" s="14"/>
      <c r="E650" s="155"/>
      <c r="F650" s="10"/>
      <c r="G650" s="17"/>
      <c r="H650" s="10"/>
      <c r="I650" s="17"/>
      <c r="J650" s="82"/>
      <c r="K650" s="340"/>
      <c r="L650" s="344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>
      <c r="A651" s="10" t="s">
        <v>255</v>
      </c>
      <c r="B651" s="226" t="s">
        <v>85</v>
      </c>
      <c r="C651" s="10" t="s">
        <v>97</v>
      </c>
      <c r="D651" s="14"/>
      <c r="E651" s="155"/>
      <c r="F651" s="10"/>
      <c r="G651" s="17"/>
      <c r="H651" s="10"/>
      <c r="I651" s="17"/>
      <c r="J651" s="82"/>
      <c r="K651" s="340"/>
      <c r="L651" s="344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>
      <c r="A652" s="10" t="s">
        <v>255</v>
      </c>
      <c r="B652" s="226" t="s">
        <v>85</v>
      </c>
      <c r="C652" s="10" t="s">
        <v>97</v>
      </c>
      <c r="D652" s="14"/>
      <c r="E652" s="155"/>
      <c r="F652" s="10"/>
      <c r="G652" s="17"/>
      <c r="H652" s="10"/>
      <c r="I652" s="17"/>
      <c r="J652" s="82"/>
      <c r="K652" s="340"/>
      <c r="L652" s="344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>
      <c r="A653" s="10" t="s">
        <v>255</v>
      </c>
      <c r="B653" s="226" t="s">
        <v>85</v>
      </c>
      <c r="C653" s="10" t="s">
        <v>97</v>
      </c>
      <c r="D653" s="14"/>
      <c r="E653" s="155"/>
      <c r="F653" s="10"/>
      <c r="G653" s="17"/>
      <c r="H653" s="10"/>
      <c r="I653" s="17"/>
      <c r="J653" s="82"/>
      <c r="K653" s="340"/>
      <c r="L653" s="344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>
      <c r="A654" s="10" t="s">
        <v>255</v>
      </c>
      <c r="B654" s="226" t="s">
        <v>85</v>
      </c>
      <c r="C654" s="10" t="s">
        <v>97</v>
      </c>
      <c r="D654" s="14"/>
      <c r="E654" s="155"/>
      <c r="F654" s="10"/>
      <c r="G654" s="17"/>
      <c r="H654" s="10"/>
      <c r="I654" s="17"/>
      <c r="J654" s="82"/>
      <c r="K654" s="340"/>
      <c r="L654" s="344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>
      <c r="A655" s="10" t="s">
        <v>255</v>
      </c>
      <c r="B655" s="226" t="s">
        <v>85</v>
      </c>
      <c r="C655" s="10" t="s">
        <v>97</v>
      </c>
      <c r="D655" s="14"/>
      <c r="E655" s="155"/>
      <c r="F655" s="10"/>
      <c r="G655" s="17"/>
      <c r="H655" s="10"/>
      <c r="I655" s="17"/>
      <c r="J655" s="82"/>
      <c r="K655" s="340"/>
      <c r="L655" s="344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>
      <c r="A656" s="10" t="s">
        <v>255</v>
      </c>
      <c r="B656" s="226" t="s">
        <v>85</v>
      </c>
      <c r="C656" s="10" t="s">
        <v>97</v>
      </c>
      <c r="D656" s="14"/>
      <c r="E656" s="155"/>
      <c r="F656" s="10"/>
      <c r="G656" s="17"/>
      <c r="H656" s="10"/>
      <c r="I656" s="17"/>
      <c r="J656" s="82"/>
      <c r="K656" s="340"/>
      <c r="L656" s="344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>
      <c r="A657" s="10" t="s">
        <v>255</v>
      </c>
      <c r="B657" s="226" t="s">
        <v>85</v>
      </c>
      <c r="C657" s="10"/>
      <c r="D657" s="14"/>
      <c r="E657" s="155"/>
      <c r="F657" s="10"/>
      <c r="G657" s="17"/>
      <c r="H657" s="10"/>
      <c r="I657" s="17"/>
      <c r="J657" s="82"/>
      <c r="K657" s="340"/>
      <c r="L657" s="344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>
      <c r="A658" s="10" t="s">
        <v>255</v>
      </c>
      <c r="B658" s="226" t="s">
        <v>85</v>
      </c>
      <c r="C658" s="10"/>
      <c r="D658" s="14"/>
      <c r="E658" s="155"/>
      <c r="F658" s="10"/>
      <c r="G658" s="17"/>
      <c r="H658" s="10"/>
      <c r="I658" s="17"/>
      <c r="J658" s="82"/>
      <c r="K658" s="340"/>
      <c r="L658" s="344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>
      <c r="A659" s="10" t="s">
        <v>255</v>
      </c>
      <c r="B659" s="226" t="s">
        <v>85</v>
      </c>
      <c r="C659" s="10"/>
      <c r="D659" s="14"/>
      <c r="E659" s="155"/>
      <c r="F659" s="10"/>
      <c r="G659" s="17"/>
      <c r="H659" s="10"/>
      <c r="I659" s="17"/>
      <c r="J659" s="82"/>
      <c r="K659" s="340"/>
      <c r="L659" s="344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>
      <c r="A660" s="10" t="s">
        <v>255</v>
      </c>
      <c r="B660" s="226" t="s">
        <v>85</v>
      </c>
      <c r="C660" s="10"/>
      <c r="D660" s="14"/>
      <c r="E660" s="155"/>
      <c r="F660" s="10"/>
      <c r="G660" s="17"/>
      <c r="H660" s="10"/>
      <c r="I660" s="17"/>
      <c r="J660" s="82"/>
      <c r="K660" s="340"/>
      <c r="L660" s="344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>
      <c r="A661" s="10" t="s">
        <v>255</v>
      </c>
      <c r="B661" s="226" t="s">
        <v>85</v>
      </c>
      <c r="C661" s="10"/>
      <c r="D661" s="14"/>
      <c r="E661" s="155"/>
      <c r="F661" s="10"/>
      <c r="G661" s="17"/>
      <c r="H661" s="10"/>
      <c r="I661" s="17"/>
      <c r="J661" s="82"/>
      <c r="K661" s="340"/>
      <c r="L661" s="344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>
      <c r="A662" s="10" t="s">
        <v>255</v>
      </c>
      <c r="B662" s="226" t="s">
        <v>85</v>
      </c>
      <c r="C662" s="10"/>
      <c r="D662" s="14"/>
      <c r="E662" s="155"/>
      <c r="F662" s="10"/>
      <c r="G662" s="17"/>
      <c r="H662" s="10"/>
      <c r="I662" s="17"/>
      <c r="J662" s="82"/>
      <c r="K662" s="340"/>
      <c r="L662" s="344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>
      <c r="A663" s="10" t="s">
        <v>255</v>
      </c>
      <c r="B663" s="226" t="s">
        <v>85</v>
      </c>
      <c r="C663" s="10"/>
      <c r="D663" s="14"/>
      <c r="E663" s="155"/>
      <c r="F663" s="10"/>
      <c r="G663" s="17"/>
      <c r="H663" s="10"/>
      <c r="I663" s="17"/>
      <c r="J663" s="82"/>
      <c r="K663" s="340"/>
      <c r="L663" s="344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>
      <c r="A664" s="10" t="s">
        <v>255</v>
      </c>
      <c r="B664" s="226" t="s">
        <v>85</v>
      </c>
      <c r="C664" s="10"/>
      <c r="D664" s="14"/>
      <c r="E664" s="155"/>
      <c r="F664" s="10"/>
      <c r="G664" s="17"/>
      <c r="H664" s="10"/>
      <c r="I664" s="17"/>
      <c r="J664" s="82"/>
      <c r="K664" s="340"/>
      <c r="L664" s="344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>
      <c r="A665" s="10" t="s">
        <v>255</v>
      </c>
      <c r="B665" s="226" t="s">
        <v>85</v>
      </c>
      <c r="C665" s="10"/>
      <c r="D665" s="14"/>
      <c r="E665" s="155"/>
      <c r="F665" s="10"/>
      <c r="G665" s="17"/>
      <c r="H665" s="10"/>
      <c r="I665" s="17"/>
      <c r="J665" s="82"/>
      <c r="K665" s="340"/>
      <c r="L665" s="344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>
      <c r="A666" s="10" t="s">
        <v>255</v>
      </c>
      <c r="B666" s="226" t="s">
        <v>85</v>
      </c>
      <c r="C666" s="10"/>
      <c r="D666" s="14"/>
      <c r="E666" s="155"/>
      <c r="F666" s="10"/>
      <c r="G666" s="17"/>
      <c r="H666" s="10"/>
      <c r="I666" s="17"/>
      <c r="J666" s="82"/>
      <c r="K666" s="340"/>
      <c r="L666" s="344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>
      <c r="A667" s="10" t="s">
        <v>255</v>
      </c>
      <c r="B667" s="226" t="s">
        <v>85</v>
      </c>
      <c r="C667" s="10"/>
      <c r="D667" s="14"/>
      <c r="E667" s="155"/>
      <c r="F667" s="10"/>
      <c r="G667" s="17"/>
      <c r="H667" s="10"/>
      <c r="I667" s="17"/>
      <c r="J667" s="82"/>
      <c r="K667" s="340"/>
      <c r="L667" s="344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>
      <c r="A668" s="10" t="s">
        <v>255</v>
      </c>
      <c r="B668" s="226" t="s">
        <v>85</v>
      </c>
      <c r="C668" s="10"/>
      <c r="D668" s="14"/>
      <c r="E668" s="155"/>
      <c r="F668" s="10"/>
      <c r="G668" s="17"/>
      <c r="H668" s="10"/>
      <c r="I668" s="17"/>
      <c r="J668" s="82"/>
      <c r="K668" s="340"/>
      <c r="L668" s="344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P/C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>
      <c r="A669" s="10" t="s">
        <v>255</v>
      </c>
      <c r="B669" s="226" t="s">
        <v>85</v>
      </c>
      <c r="C669" s="10"/>
      <c r="D669" s="14"/>
      <c r="E669" s="155"/>
      <c r="F669" s="10"/>
      <c r="G669" s="17"/>
      <c r="H669" s="10"/>
      <c r="I669" s="17"/>
      <c r="J669" s="82"/>
      <c r="K669" s="340"/>
      <c r="L669" s="344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32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>
      <c r="A670" s="10" t="s">
        <v>255</v>
      </c>
      <c r="B670" s="226" t="s">
        <v>85</v>
      </c>
      <c r="C670" s="10"/>
      <c r="D670" s="14"/>
      <c r="E670" s="155"/>
      <c r="F670" s="10"/>
      <c r="G670" s="17"/>
      <c r="H670" s="10"/>
      <c r="I670" s="17"/>
      <c r="J670" s="82"/>
      <c r="K670" s="340"/>
      <c r="L670" s="344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80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>
      <c r="A671" s="10" t="s">
        <v>255</v>
      </c>
      <c r="B671" s="226" t="s">
        <v>85</v>
      </c>
      <c r="C671" s="10"/>
      <c r="D671" s="14"/>
      <c r="E671" s="155"/>
      <c r="F671" s="10"/>
      <c r="G671" s="17"/>
      <c r="H671" s="10"/>
      <c r="I671" s="17"/>
      <c r="J671" s="82"/>
      <c r="K671" s="340"/>
      <c r="L671" s="344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160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>
      <c r="A672" s="10" t="s">
        <v>255</v>
      </c>
      <c r="B672" s="226" t="s">
        <v>85</v>
      </c>
      <c r="C672" s="10"/>
      <c r="D672" s="14"/>
      <c r="E672" s="155"/>
      <c r="F672" s="10"/>
      <c r="G672" s="17"/>
      <c r="H672" s="10"/>
      <c r="I672" s="17"/>
      <c r="J672" s="82"/>
      <c r="K672" s="340"/>
      <c r="L672" s="344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>
      <c r="A673" s="10" t="s">
        <v>255</v>
      </c>
      <c r="B673" s="226" t="s">
        <v>85</v>
      </c>
      <c r="C673" s="10"/>
      <c r="D673" s="14"/>
      <c r="E673" s="155"/>
      <c r="F673" s="10"/>
      <c r="G673" s="17"/>
      <c r="H673" s="10"/>
      <c r="I673" s="17"/>
      <c r="J673" s="82"/>
      <c r="K673" s="340"/>
      <c r="L673" s="344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4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>
      <c r="A674" s="10" t="s">
        <v>255</v>
      </c>
      <c r="B674" s="226" t="s">
        <v>85</v>
      </c>
      <c r="C674" s="10"/>
      <c r="D674" s="14"/>
      <c r="E674" s="155"/>
      <c r="F674" s="10"/>
      <c r="G674" s="17"/>
      <c r="H674" s="10"/>
      <c r="I674" s="17"/>
      <c r="J674" s="82"/>
      <c r="K674" s="340"/>
      <c r="L674" s="344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4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>
      <c r="A675" s="10" t="s">
        <v>255</v>
      </c>
      <c r="B675" s="226" t="s">
        <v>85</v>
      </c>
      <c r="C675" s="10"/>
      <c r="D675" s="14"/>
      <c r="E675" s="155"/>
      <c r="F675" s="10"/>
      <c r="G675" s="17"/>
      <c r="H675" s="10"/>
      <c r="I675" s="17"/>
      <c r="J675" s="82"/>
      <c r="K675" s="340"/>
      <c r="L675" s="344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16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>
      <c r="A676" s="10" t="s">
        <v>255</v>
      </c>
      <c r="B676" s="226" t="s">
        <v>85</v>
      </c>
      <c r="C676" s="10"/>
      <c r="D676" s="14"/>
      <c r="E676" s="155"/>
      <c r="F676" s="10"/>
      <c r="G676" s="17"/>
      <c r="H676" s="10"/>
      <c r="I676" s="17"/>
      <c r="J676" s="82"/>
      <c r="K676" s="340"/>
      <c r="L676" s="344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>
      <c r="A677" s="10" t="s">
        <v>255</v>
      </c>
      <c r="B677" s="226" t="s">
        <v>85</v>
      </c>
      <c r="C677" s="10"/>
      <c r="D677" s="14"/>
      <c r="E677" s="155"/>
      <c r="F677" s="10"/>
      <c r="G677" s="17"/>
      <c r="H677" s="10"/>
      <c r="I677" s="17"/>
      <c r="J677" s="82"/>
      <c r="K677" s="340"/>
      <c r="L677" s="344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20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>
      <c r="A678" s="10" t="s">
        <v>255</v>
      </c>
      <c r="B678" s="226" t="s">
        <v>85</v>
      </c>
      <c r="C678" s="10"/>
      <c r="D678" s="14"/>
      <c r="E678" s="155"/>
      <c r="F678" s="10"/>
      <c r="G678" s="17"/>
      <c r="H678" s="10"/>
      <c r="I678" s="17"/>
      <c r="J678" s="82"/>
      <c r="K678" s="340"/>
      <c r="L678" s="344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20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>
      <c r="A679" s="10" t="s">
        <v>255</v>
      </c>
      <c r="B679" s="226" t="s">
        <v>85</v>
      </c>
      <c r="C679" s="10"/>
      <c r="D679" s="14"/>
      <c r="E679" s="155"/>
      <c r="F679" s="10"/>
      <c r="G679" s="17"/>
      <c r="H679" s="10"/>
      <c r="I679" s="17"/>
      <c r="J679" s="82"/>
      <c r="K679" s="340"/>
      <c r="L679" s="344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8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>
      <c r="A680" s="10" t="s">
        <v>255</v>
      </c>
      <c r="B680" s="226" t="s">
        <v>85</v>
      </c>
      <c r="C680" s="10"/>
      <c r="D680" s="14"/>
      <c r="E680" s="155"/>
      <c r="F680" s="10"/>
      <c r="G680" s="17"/>
      <c r="H680" s="10"/>
      <c r="I680" s="17"/>
      <c r="J680" s="82"/>
      <c r="K680" s="340"/>
      <c r="L680" s="344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8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>
      <c r="A681" s="10" t="s">
        <v>255</v>
      </c>
      <c r="B681" s="226" t="s">
        <v>85</v>
      </c>
      <c r="C681" s="10"/>
      <c r="D681" s="14"/>
      <c r="E681" s="155"/>
      <c r="F681" s="10"/>
      <c r="G681" s="17"/>
      <c r="H681" s="10"/>
      <c r="I681" s="17"/>
      <c r="J681" s="82"/>
      <c r="K681" s="340"/>
      <c r="L681" s="344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4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>
      <c r="A682" s="10" t="s">
        <v>255</v>
      </c>
      <c r="B682" s="226" t="s">
        <v>85</v>
      </c>
      <c r="C682" s="10"/>
      <c r="D682" s="14"/>
      <c r="E682" s="155"/>
      <c r="F682" s="10"/>
      <c r="G682" s="17"/>
      <c r="H682" s="10"/>
      <c r="I682" s="17"/>
      <c r="J682" s="82"/>
      <c r="K682" s="340"/>
      <c r="L682" s="344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>
      <c r="A683" s="10" t="s">
        <v>255</v>
      </c>
      <c r="B683" s="226" t="s">
        <v>85</v>
      </c>
      <c r="C683" s="10"/>
      <c r="D683" s="14"/>
      <c r="E683" s="155"/>
      <c r="F683" s="10"/>
      <c r="G683" s="17"/>
      <c r="H683" s="10"/>
      <c r="I683" s="17"/>
      <c r="J683" s="82"/>
      <c r="K683" s="340"/>
      <c r="L683" s="344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>
      <c r="A684" s="10"/>
      <c r="B684" s="226"/>
      <c r="C684" s="10"/>
      <c r="D684" s="14"/>
      <c r="E684" s="155"/>
      <c r="F684" s="10"/>
      <c r="G684" s="17"/>
      <c r="H684" s="10"/>
      <c r="I684" s="17"/>
      <c r="J684" s="82"/>
      <c r="K684" s="340"/>
      <c r="L684" s="344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>
      <c r="A685" s="10"/>
      <c r="B685" s="226"/>
      <c r="C685" s="10"/>
      <c r="D685" s="14"/>
      <c r="E685" s="155"/>
      <c r="F685" s="10"/>
      <c r="G685" s="17"/>
      <c r="H685" s="10"/>
      <c r="I685" s="17"/>
      <c r="J685" s="82"/>
      <c r="K685" s="340"/>
      <c r="L685" s="344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>
      <c r="A686" s="10"/>
      <c r="B686" s="226"/>
      <c r="C686" s="10"/>
      <c r="D686" s="14"/>
      <c r="E686" s="155"/>
      <c r="F686" s="10"/>
      <c r="G686" s="17"/>
      <c r="H686" s="10"/>
      <c r="I686" s="17"/>
      <c r="J686" s="82"/>
      <c r="K686" s="340"/>
      <c r="L686" s="344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>
      <c r="A687" s="17"/>
      <c r="B687" s="227"/>
      <c r="C687" s="17"/>
      <c r="D687" s="18"/>
      <c r="E687" s="235"/>
      <c r="F687" s="17"/>
      <c r="G687" s="17"/>
      <c r="H687" s="10"/>
      <c r="I687" s="17"/>
      <c r="J687" s="82"/>
      <c r="K687" s="340"/>
      <c r="L687" s="344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>
      <c r="A688" s="10" t="s">
        <v>255</v>
      </c>
      <c r="B688" s="226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5" t="s">
        <v>257</v>
      </c>
      <c r="F688" s="10" t="s">
        <v>1781</v>
      </c>
      <c r="G688" s="17" t="s">
        <v>9</v>
      </c>
      <c r="H688" s="10"/>
      <c r="I688" s="17"/>
      <c r="J688" s="82"/>
      <c r="K688" s="341">
        <v>0.47260799999999997</v>
      </c>
      <c r="L688" s="344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8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>
      <c r="A689" s="10" t="s">
        <v>255</v>
      </c>
      <c r="B689" s="226" t="s">
        <v>89</v>
      </c>
      <c r="C689" s="10" t="s">
        <v>97</v>
      </c>
      <c r="D689" s="14" t="str">
        <v>Black Aluminium Mesh 1.6mm</v>
      </c>
      <c r="E689" s="155" t="s">
        <v>269</v>
      </c>
      <c r="F689" s="11"/>
      <c r="G689" s="17"/>
      <c r="H689" s="10"/>
      <c r="I689" s="17"/>
      <c r="J689" s="82"/>
      <c r="K689" s="340"/>
      <c r="L689" s="344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8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>
      <c r="A690" s="10" t="s">
        <v>255</v>
      </c>
      <c r="B690" s="226" t="s">
        <v>89</v>
      </c>
      <c r="C690" s="10" t="s">
        <v>97</v>
      </c>
      <c r="D690" s="14" t="str">
        <v>Black Aluminium Mesh 1.8mm</v>
      </c>
      <c r="E690" s="155"/>
      <c r="F690" s="10"/>
      <c r="G690" s="17"/>
      <c r="H690" s="10"/>
      <c r="I690" s="17"/>
      <c r="J690" s="82"/>
      <c r="K690" s="340"/>
      <c r="L690" s="344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16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>
      <c r="A691" s="10" t="s">
        <v>255</v>
      </c>
      <c r="B691" s="226" t="s">
        <v>89</v>
      </c>
      <c r="C691" s="10" t="s">
        <v>97</v>
      </c>
      <c r="D691" s="14" t="str">
        <v>Black Stainless Steel Mesh 1.0mm</v>
      </c>
      <c r="E691" s="155"/>
      <c r="F691" s="10"/>
      <c r="G691" s="17"/>
      <c r="H691" s="10"/>
      <c r="I691" s="17"/>
      <c r="J691" s="82"/>
      <c r="K691" s="340"/>
      <c r="L691" s="344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80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>
      <c r="A692" s="10" t="s">
        <v>255</v>
      </c>
      <c r="B692" s="226" t="s">
        <v>89</v>
      </c>
      <c r="C692" s="10" t="s">
        <v>97</v>
      </c>
      <c r="D692" s="14" t="str">
        <v/>
      </c>
      <c r="E692" s="155"/>
      <c r="F692" s="10"/>
      <c r="G692" s="17"/>
      <c r="H692" s="10"/>
      <c r="I692" s="17"/>
      <c r="J692" s="82"/>
      <c r="K692" s="340"/>
      <c r="L692" s="344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16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>
      <c r="A693" s="10" t="s">
        <v>255</v>
      </c>
      <c r="B693" s="226" t="s">
        <v>89</v>
      </c>
      <c r="C693" s="10" t="s">
        <v>97</v>
      </c>
      <c r="D693" s="14" t="str">
        <v/>
      </c>
      <c r="E693" s="155"/>
      <c r="F693" s="10"/>
      <c r="G693" s="17"/>
      <c r="H693" s="10"/>
      <c r="I693" s="17"/>
      <c r="J693" s="82"/>
      <c r="K693" s="340"/>
      <c r="L693" s="344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32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>
      <c r="A694" s="10" t="s">
        <v>255</v>
      </c>
      <c r="B694" s="226" t="s">
        <v>89</v>
      </c>
      <c r="C694" s="10" t="s">
        <v>97</v>
      </c>
      <c r="D694" s="14" t="str">
        <v/>
      </c>
      <c r="E694" s="155"/>
      <c r="F694" s="10"/>
      <c r="G694" s="17"/>
      <c r="H694" s="10"/>
      <c r="I694" s="17"/>
      <c r="J694" s="82"/>
      <c r="K694" s="340"/>
      <c r="L694" s="344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>
      <c r="A695" s="10" t="s">
        <v>255</v>
      </c>
      <c r="B695" s="226" t="s">
        <v>89</v>
      </c>
      <c r="C695" s="10" t="s">
        <v>97</v>
      </c>
      <c r="D695" s="14"/>
      <c r="E695" s="155"/>
      <c r="F695" s="10"/>
      <c r="G695" s="17"/>
      <c r="H695" s="10"/>
      <c r="I695" s="17"/>
      <c r="J695" s="82"/>
      <c r="K695" s="340"/>
      <c r="L695" s="344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>
      <c r="A696" s="10" t="s">
        <v>255</v>
      </c>
      <c r="B696" s="226" t="s">
        <v>89</v>
      </c>
      <c r="C696" s="10" t="s">
        <v>97</v>
      </c>
      <c r="D696" s="14"/>
      <c r="E696" s="155"/>
      <c r="F696" s="10"/>
      <c r="G696" s="17"/>
      <c r="H696" s="10"/>
      <c r="I696" s="17"/>
      <c r="J696" s="82"/>
      <c r="K696" s="340"/>
      <c r="L696" s="344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Breezway 102mm Glass Infill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>
      <c r="A697" s="10" t="s">
        <v>255</v>
      </c>
      <c r="B697" s="226" t="s">
        <v>89</v>
      </c>
      <c r="C697" s="10" t="s">
        <v>97</v>
      </c>
      <c r="D697" s="14"/>
      <c r="E697" s="155"/>
      <c r="F697" s="10"/>
      <c r="G697" s="17"/>
      <c r="H697" s="10"/>
      <c r="I697" s="17"/>
      <c r="J697" s="82"/>
      <c r="K697" s="340"/>
      <c r="L697" s="344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>
      <c r="A698" s="10" t="s">
        <v>255</v>
      </c>
      <c r="B698" s="226" t="s">
        <v>89</v>
      </c>
      <c r="C698" s="10" t="s">
        <v>97</v>
      </c>
      <c r="D698" s="14"/>
      <c r="E698" s="155"/>
      <c r="F698" s="10"/>
      <c r="G698" s="17"/>
      <c r="H698" s="10"/>
      <c r="I698" s="17"/>
      <c r="J698" s="82"/>
      <c r="K698" s="340"/>
      <c r="L698" s="344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>
      <c r="A699" s="10" t="s">
        <v>255</v>
      </c>
      <c r="B699" s="226" t="s">
        <v>89</v>
      </c>
      <c r="C699" s="10" t="s">
        <v>97</v>
      </c>
      <c r="D699" s="14"/>
      <c r="E699" s="155"/>
      <c r="F699" s="10"/>
      <c r="G699" s="17"/>
      <c r="H699" s="10"/>
      <c r="I699" s="17"/>
      <c r="J699" s="82"/>
      <c r="K699" s="340"/>
      <c r="L699" s="344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>
      <c r="A700" s="10" t="s">
        <v>255</v>
      </c>
      <c r="B700" s="226" t="s">
        <v>89</v>
      </c>
      <c r="C700" s="10" t="s">
        <v>97</v>
      </c>
      <c r="D700" s="14"/>
      <c r="E700" s="155"/>
      <c r="F700" s="10"/>
      <c r="G700" s="17"/>
      <c r="H700" s="10"/>
      <c r="I700" s="17"/>
      <c r="J700" s="82"/>
      <c r="K700" s="340"/>
      <c r="L700" s="344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>
      <c r="A701" s="10" t="s">
        <v>255</v>
      </c>
      <c r="B701" s="226" t="s">
        <v>89</v>
      </c>
      <c r="C701" s="10" t="s">
        <v>97</v>
      </c>
      <c r="D701" s="14"/>
      <c r="E701" s="155"/>
      <c r="F701" s="10"/>
      <c r="G701" s="17"/>
      <c r="H701" s="10"/>
      <c r="I701" s="17"/>
      <c r="J701" s="82"/>
      <c r="K701" s="340"/>
      <c r="L701" s="344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>
      <c r="A702" s="10" t="s">
        <v>255</v>
      </c>
      <c r="B702" s="226" t="s">
        <v>89</v>
      </c>
      <c r="C702" s="10" t="s">
        <v>97</v>
      </c>
      <c r="D702" s="14"/>
      <c r="E702" s="155"/>
      <c r="F702" s="10"/>
      <c r="G702" s="17"/>
      <c r="H702" s="10"/>
      <c r="I702" s="17"/>
      <c r="J702" s="82"/>
      <c r="K702" s="340"/>
      <c r="L702" s="344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>
      <c r="A703" s="10" t="s">
        <v>255</v>
      </c>
      <c r="B703" s="226" t="s">
        <v>89</v>
      </c>
      <c r="C703" s="10" t="s">
        <v>97</v>
      </c>
      <c r="D703" s="14"/>
      <c r="E703" s="155"/>
      <c r="F703" s="10"/>
      <c r="G703" s="17"/>
      <c r="H703" s="10"/>
      <c r="I703" s="17"/>
      <c r="J703" s="82"/>
      <c r="K703" s="340"/>
      <c r="L703" s="344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>
      <c r="A704" s="10" t="s">
        <v>255</v>
      </c>
      <c r="B704" s="226" t="s">
        <v>89</v>
      </c>
      <c r="C704" s="10"/>
      <c r="D704" s="14"/>
      <c r="E704" s="155"/>
      <c r="F704" s="10"/>
      <c r="G704" s="17"/>
      <c r="H704" s="10"/>
      <c r="I704" s="17"/>
      <c r="J704" s="82"/>
      <c r="K704" s="340"/>
      <c r="L704" s="344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>
      <c r="A705" s="10" t="s">
        <v>255</v>
      </c>
      <c r="B705" s="226" t="s">
        <v>89</v>
      </c>
      <c r="C705" s="10"/>
      <c r="D705" s="14"/>
      <c r="E705" s="155"/>
      <c r="F705" s="10"/>
      <c r="G705" s="17"/>
      <c r="H705" s="10"/>
      <c r="I705" s="17"/>
      <c r="J705" s="82"/>
      <c r="K705" s="340"/>
      <c r="L705" s="344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>
      <c r="A706" s="10" t="s">
        <v>255</v>
      </c>
      <c r="B706" s="226" t="s">
        <v>89</v>
      </c>
      <c r="C706" s="10"/>
      <c r="D706" s="14"/>
      <c r="E706" s="155"/>
      <c r="F706" s="10"/>
      <c r="G706" s="17"/>
      <c r="H706" s="10"/>
      <c r="I706" s="17"/>
      <c r="J706" s="82"/>
      <c r="K706" s="340"/>
      <c r="L706" s="344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>
      <c r="A707" s="10" t="s">
        <v>255</v>
      </c>
      <c r="B707" s="226" t="s">
        <v>89</v>
      </c>
      <c r="C707" s="10"/>
      <c r="D707" s="14"/>
      <c r="E707" s="155"/>
      <c r="F707" s="10"/>
      <c r="G707" s="17"/>
      <c r="H707" s="10"/>
      <c r="I707" s="17"/>
      <c r="J707" s="82"/>
      <c r="K707" s="340"/>
      <c r="L707" s="344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>
      <c r="A708" s="10" t="s">
        <v>255</v>
      </c>
      <c r="B708" s="226" t="s">
        <v>89</v>
      </c>
      <c r="C708" s="10"/>
      <c r="D708" s="14"/>
      <c r="E708" s="155"/>
      <c r="F708" s="10"/>
      <c r="G708" s="17"/>
      <c r="H708" s="10"/>
      <c r="I708" s="17"/>
      <c r="J708" s="82"/>
      <c r="K708" s="340"/>
      <c r="L708" s="344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>
      <c r="A709" s="10" t="s">
        <v>255</v>
      </c>
      <c r="B709" s="226" t="s">
        <v>89</v>
      </c>
      <c r="C709" s="10"/>
      <c r="D709" s="14"/>
      <c r="E709" s="155"/>
      <c r="F709" s="10"/>
      <c r="G709" s="17"/>
      <c r="H709" s="10"/>
      <c r="I709" s="17"/>
      <c r="J709" s="82"/>
      <c r="K709" s="340"/>
      <c r="L709" s="344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>
      <c r="A710" s="10" t="s">
        <v>255</v>
      </c>
      <c r="B710" s="226" t="s">
        <v>89</v>
      </c>
      <c r="C710" s="10"/>
      <c r="D710" s="14"/>
      <c r="E710" s="155"/>
      <c r="F710" s="10"/>
      <c r="G710" s="17"/>
      <c r="H710" s="10"/>
      <c r="I710" s="17"/>
      <c r="J710" s="82"/>
      <c r="K710" s="340"/>
      <c r="L710" s="344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>
      <c r="A711" s="10" t="s">
        <v>255</v>
      </c>
      <c r="B711" s="226" t="s">
        <v>89</v>
      </c>
      <c r="C711" s="10"/>
      <c r="D711" s="14"/>
      <c r="E711" s="155"/>
      <c r="F711" s="10"/>
      <c r="G711" s="17"/>
      <c r="H711" s="10"/>
      <c r="I711" s="17"/>
      <c r="J711" s="82"/>
      <c r="K711" s="340"/>
      <c r="L711" s="344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>
      <c r="A712" s="10" t="s">
        <v>255</v>
      </c>
      <c r="B712" s="226" t="s">
        <v>89</v>
      </c>
      <c r="C712" s="10"/>
      <c r="D712" s="14"/>
      <c r="E712" s="155"/>
      <c r="F712" s="10"/>
      <c r="G712" s="17"/>
      <c r="H712" s="10"/>
      <c r="I712" s="17"/>
      <c r="J712" s="82"/>
      <c r="K712" s="340"/>
      <c r="L712" s="344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>
      <c r="A713" s="10" t="s">
        <v>255</v>
      </c>
      <c r="B713" s="226" t="s">
        <v>89</v>
      </c>
      <c r="C713" s="10"/>
      <c r="D713" s="14"/>
      <c r="E713" s="155"/>
      <c r="F713" s="10"/>
      <c r="G713" s="17"/>
      <c r="H713" s="10"/>
      <c r="I713" s="17"/>
      <c r="J713" s="82"/>
      <c r="K713" s="340"/>
      <c r="L713" s="344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>
      <c r="A714" s="10" t="s">
        <v>255</v>
      </c>
      <c r="B714" s="226" t="s">
        <v>89</v>
      </c>
      <c r="C714" s="10"/>
      <c r="D714" s="14"/>
      <c r="E714" s="155"/>
      <c r="F714" s="10"/>
      <c r="G714" s="17"/>
      <c r="H714" s="10"/>
      <c r="I714" s="17"/>
      <c r="J714" s="82"/>
      <c r="K714" s="340"/>
      <c r="L714" s="344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>
      <c r="A715" s="10" t="s">
        <v>255</v>
      </c>
      <c r="B715" s="226" t="s">
        <v>89</v>
      </c>
      <c r="C715" s="10"/>
      <c r="D715" s="14"/>
      <c r="E715" s="155"/>
      <c r="F715" s="10"/>
      <c r="G715" s="17"/>
      <c r="H715" s="10"/>
      <c r="I715" s="17"/>
      <c r="J715" s="82"/>
      <c r="K715" s="340"/>
      <c r="L715" s="344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>
      <c r="A716" s="10" t="s">
        <v>255</v>
      </c>
      <c r="B716" s="226" t="s">
        <v>89</v>
      </c>
      <c r="C716" s="10"/>
      <c r="D716" s="14"/>
      <c r="E716" s="155"/>
      <c r="F716" s="10"/>
      <c r="G716" s="17"/>
      <c r="H716" s="10"/>
      <c r="I716" s="17"/>
      <c r="J716" s="82"/>
      <c r="K716" s="340"/>
      <c r="L716" s="344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>
      <c r="A717" s="10" t="s">
        <v>255</v>
      </c>
      <c r="B717" s="226" t="s">
        <v>89</v>
      </c>
      <c r="C717" s="10"/>
      <c r="D717" s="14"/>
      <c r="E717" s="155"/>
      <c r="F717" s="10"/>
      <c r="G717" s="17"/>
      <c r="H717" s="10"/>
      <c r="I717" s="17"/>
      <c r="J717" s="82"/>
      <c r="K717" s="340"/>
      <c r="L717" s="344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P/C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>
      <c r="A718" s="10" t="s">
        <v>255</v>
      </c>
      <c r="B718" s="226" t="s">
        <v>89</v>
      </c>
      <c r="C718" s="10"/>
      <c r="D718" s="14"/>
      <c r="E718" s="155"/>
      <c r="F718" s="10"/>
      <c r="G718" s="17"/>
      <c r="H718" s="10"/>
      <c r="I718" s="17"/>
      <c r="J718" s="82"/>
      <c r="K718" s="340"/>
      <c r="L718" s="344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32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>
      <c r="A719" s="10" t="s">
        <v>255</v>
      </c>
      <c r="B719" s="226" t="s">
        <v>89</v>
      </c>
      <c r="C719" s="10"/>
      <c r="D719" s="14"/>
      <c r="E719" s="155"/>
      <c r="F719" s="10"/>
      <c r="G719" s="17"/>
      <c r="H719" s="10"/>
      <c r="I719" s="17"/>
      <c r="J719" s="82"/>
      <c r="K719" s="340"/>
      <c r="L719" s="344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80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>
      <c r="A720" s="10" t="s">
        <v>255</v>
      </c>
      <c r="B720" s="226" t="s">
        <v>89</v>
      </c>
      <c r="C720" s="10"/>
      <c r="D720" s="14"/>
      <c r="E720" s="155"/>
      <c r="F720" s="10"/>
      <c r="G720" s="17"/>
      <c r="H720" s="10"/>
      <c r="I720" s="17"/>
      <c r="J720" s="82"/>
      <c r="K720" s="340"/>
      <c r="L720" s="344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160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>
      <c r="A721" s="10" t="s">
        <v>255</v>
      </c>
      <c r="B721" s="226" t="s">
        <v>89</v>
      </c>
      <c r="C721" s="10"/>
      <c r="D721" s="14"/>
      <c r="E721" s="155"/>
      <c r="F721" s="10"/>
      <c r="G721" s="17"/>
      <c r="H721" s="10"/>
      <c r="I721" s="17"/>
      <c r="J721" s="82"/>
      <c r="K721" s="340"/>
      <c r="L721" s="344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>
      <c r="A722" s="10" t="s">
        <v>255</v>
      </c>
      <c r="B722" s="226" t="s">
        <v>89</v>
      </c>
      <c r="C722" s="10"/>
      <c r="D722" s="14"/>
      <c r="E722" s="155"/>
      <c r="F722" s="10"/>
      <c r="G722" s="17"/>
      <c r="H722" s="10"/>
      <c r="I722" s="17"/>
      <c r="J722" s="82"/>
      <c r="K722" s="340"/>
      <c r="L722" s="344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>
      <c r="A723" s="10" t="s">
        <v>255</v>
      </c>
      <c r="B723" s="226" t="s">
        <v>89</v>
      </c>
      <c r="C723" s="10"/>
      <c r="D723" s="14"/>
      <c r="E723" s="155"/>
      <c r="F723" s="10"/>
      <c r="G723" s="17"/>
      <c r="H723" s="10"/>
      <c r="I723" s="17"/>
      <c r="J723" s="82"/>
      <c r="K723" s="340"/>
      <c r="L723" s="344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2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>
      <c r="A724" s="10" t="s">
        <v>255</v>
      </c>
      <c r="B724" s="226" t="s">
        <v>89</v>
      </c>
      <c r="C724" s="10"/>
      <c r="D724" s="14"/>
      <c r="E724" s="155"/>
      <c r="F724" s="10"/>
      <c r="G724" s="17"/>
      <c r="H724" s="10"/>
      <c r="I724" s="17"/>
      <c r="J724" s="82"/>
      <c r="K724" s="340"/>
      <c r="L724" s="344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16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>
      <c r="A725" s="10" t="s">
        <v>255</v>
      </c>
      <c r="B725" s="226" t="s">
        <v>89</v>
      </c>
      <c r="C725" s="10"/>
      <c r="D725" s="14"/>
      <c r="E725" s="155"/>
      <c r="F725" s="10"/>
      <c r="G725" s="17"/>
      <c r="H725" s="10"/>
      <c r="I725" s="17"/>
      <c r="J725" s="82"/>
      <c r="K725" s="340"/>
      <c r="L725" s="344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2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>
      <c r="A726" s="10" t="s">
        <v>255</v>
      </c>
      <c r="B726" s="226" t="s">
        <v>89</v>
      </c>
      <c r="C726" s="10"/>
      <c r="D726" s="14"/>
      <c r="E726" s="155"/>
      <c r="F726" s="10"/>
      <c r="G726" s="17"/>
      <c r="H726" s="10"/>
      <c r="I726" s="17"/>
      <c r="J726" s="82"/>
      <c r="K726" s="340"/>
      <c r="L726" s="344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14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>
      <c r="A727" s="10" t="s">
        <v>255</v>
      </c>
      <c r="B727" s="226" t="s">
        <v>89</v>
      </c>
      <c r="C727" s="10"/>
      <c r="D727" s="14"/>
      <c r="E727" s="155"/>
      <c r="F727" s="10"/>
      <c r="G727" s="17"/>
      <c r="H727" s="10"/>
      <c r="I727" s="17"/>
      <c r="J727" s="82"/>
      <c r="K727" s="340"/>
      <c r="L727" s="344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2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>
      <c r="A728" s="10" t="s">
        <v>255</v>
      </c>
      <c r="B728" s="226" t="s">
        <v>89</v>
      </c>
      <c r="C728" s="10"/>
      <c r="D728" s="14"/>
      <c r="E728" s="155"/>
      <c r="F728" s="10"/>
      <c r="G728" s="17"/>
      <c r="H728" s="10"/>
      <c r="I728" s="17"/>
      <c r="J728" s="82"/>
      <c r="K728" s="340"/>
      <c r="L728" s="344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4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>
      <c r="A729" s="10" t="s">
        <v>255</v>
      </c>
      <c r="B729" s="226" t="s">
        <v>89</v>
      </c>
      <c r="C729" s="10"/>
      <c r="D729" s="14"/>
      <c r="E729" s="155"/>
      <c r="F729" s="10"/>
      <c r="G729" s="17"/>
      <c r="H729" s="10"/>
      <c r="I729" s="17"/>
      <c r="J729" s="82"/>
      <c r="K729" s="340"/>
      <c r="L729" s="344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>
      <c r="A730" s="10" t="s">
        <v>255</v>
      </c>
      <c r="B730" s="226" t="s">
        <v>89</v>
      </c>
      <c r="C730" s="10"/>
      <c r="D730" s="14"/>
      <c r="E730" s="155"/>
      <c r="F730" s="10"/>
      <c r="G730" s="17"/>
      <c r="H730" s="10"/>
      <c r="I730" s="17"/>
      <c r="J730" s="82"/>
      <c r="K730" s="340"/>
      <c r="L730" s="344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>
      <c r="A731" s="10" t="s">
        <v>255</v>
      </c>
      <c r="B731" s="226" t="s">
        <v>89</v>
      </c>
      <c r="C731" s="10"/>
      <c r="D731" s="14"/>
      <c r="E731" s="155"/>
      <c r="F731" s="10"/>
      <c r="G731" s="17"/>
      <c r="H731" s="10"/>
      <c r="I731" s="17"/>
      <c r="J731" s="82"/>
      <c r="K731" s="340"/>
      <c r="L731" s="344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>
      <c r="A732" s="10" t="s">
        <v>255</v>
      </c>
      <c r="B732" s="226" t="s">
        <v>89</v>
      </c>
      <c r="C732" s="10"/>
      <c r="D732" s="14"/>
      <c r="E732" s="155"/>
      <c r="F732" s="10"/>
      <c r="G732" s="17"/>
      <c r="H732" s="10"/>
      <c r="I732" s="17"/>
      <c r="J732" s="82"/>
      <c r="K732" s="340"/>
      <c r="L732" s="344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>
      <c r="A733" s="10"/>
      <c r="B733" s="226"/>
      <c r="C733" s="10"/>
      <c r="D733" s="14"/>
      <c r="E733" s="155"/>
      <c r="F733" s="10"/>
      <c r="G733" s="17"/>
      <c r="H733" s="10"/>
      <c r="I733" s="17"/>
      <c r="J733" s="82"/>
      <c r="K733" s="340"/>
      <c r="L733" s="344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>
      <c r="A734" s="10"/>
      <c r="B734" s="226"/>
      <c r="C734" s="10"/>
      <c r="D734" s="14"/>
      <c r="E734" s="155"/>
      <c r="F734" s="10"/>
      <c r="G734" s="17"/>
      <c r="H734" s="10"/>
      <c r="I734" s="17"/>
      <c r="J734" s="82"/>
      <c r="K734" s="340"/>
      <c r="L734" s="344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>
      <c r="A735" s="10"/>
      <c r="B735" s="226"/>
      <c r="C735" s="10"/>
      <c r="D735" s="14"/>
      <c r="E735" s="155"/>
      <c r="F735" s="10"/>
      <c r="G735" s="17"/>
      <c r="H735" s="10"/>
      <c r="I735" s="17"/>
      <c r="J735" s="82"/>
      <c r="K735" s="340"/>
      <c r="L735" s="344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>
      <c r="A736" s="17"/>
      <c r="B736" s="227"/>
      <c r="C736" s="17"/>
      <c r="D736" s="18"/>
      <c r="E736" s="235"/>
      <c r="F736" s="17"/>
      <c r="G736" s="17"/>
      <c r="H736" s="10"/>
      <c r="I736" s="17"/>
      <c r="J736" s="82"/>
      <c r="K736" s="340"/>
      <c r="L736" s="344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>
      <c r="A737" s="10" t="s">
        <v>255</v>
      </c>
      <c r="B737" s="226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5" t="s">
        <v>257</v>
      </c>
      <c r="F737" s="10" t="s">
        <v>9</v>
      </c>
      <c r="G737" s="17"/>
      <c r="H737" s="10"/>
      <c r="I737" s="17"/>
      <c r="J737" s="82"/>
      <c r="K737" s="341">
        <v>0.52659999999999996</v>
      </c>
      <c r="L737" s="344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8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>
      <c r="A738" s="10" t="s">
        <v>255</v>
      </c>
      <c r="B738" s="226" t="s">
        <v>95</v>
      </c>
      <c r="C738" s="10" t="s">
        <v>97</v>
      </c>
      <c r="D738" s="14" t="str">
        <v>Black Aluminium Mesh 1.6mm</v>
      </c>
      <c r="E738" s="155" t="s">
        <v>269</v>
      </c>
      <c r="F738" s="11"/>
      <c r="G738" s="17"/>
      <c r="H738" s="10"/>
      <c r="I738" s="17"/>
      <c r="J738" s="82"/>
      <c r="K738" s="340"/>
      <c r="L738" s="344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8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>
      <c r="A739" s="10" t="s">
        <v>255</v>
      </c>
      <c r="B739" s="226" t="s">
        <v>95</v>
      </c>
      <c r="C739" s="10" t="s">
        <v>97</v>
      </c>
      <c r="D739" s="14" t="str">
        <v>Black Aluminium Mesh 1.8mm</v>
      </c>
      <c r="E739" s="155"/>
      <c r="F739" s="10"/>
      <c r="G739" s="17"/>
      <c r="H739" s="10"/>
      <c r="I739" s="17"/>
      <c r="J739" s="82"/>
      <c r="K739" s="340"/>
      <c r="L739" s="344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16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>
      <c r="A740" s="10" t="s">
        <v>255</v>
      </c>
      <c r="B740" s="226" t="s">
        <v>95</v>
      </c>
      <c r="C740" s="10" t="s">
        <v>97</v>
      </c>
      <c r="D740" s="14" t="str">
        <v>Black Stainless Steel Mesh 1.0mm</v>
      </c>
      <c r="E740" s="155"/>
      <c r="F740" s="10"/>
      <c r="G740" s="17"/>
      <c r="H740" s="10"/>
      <c r="I740" s="17"/>
      <c r="J740" s="82"/>
      <c r="K740" s="340"/>
      <c r="L740" s="344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16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>
      <c r="A741" s="10" t="s">
        <v>255</v>
      </c>
      <c r="B741" s="226" t="s">
        <v>95</v>
      </c>
      <c r="C741" s="10" t="s">
        <v>97</v>
      </c>
      <c r="D741" s="14" t="str">
        <v/>
      </c>
      <c r="E741" s="155"/>
      <c r="F741" s="10"/>
      <c r="G741" s="17"/>
      <c r="H741" s="10"/>
      <c r="I741" s="17"/>
      <c r="J741" s="82"/>
      <c r="K741" s="340"/>
      <c r="L741" s="344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16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>
      <c r="A742" s="10" t="s">
        <v>255</v>
      </c>
      <c r="B742" s="226" t="s">
        <v>95</v>
      </c>
      <c r="C742" s="10" t="s">
        <v>97</v>
      </c>
      <c r="D742" s="14" t="str">
        <v/>
      </c>
      <c r="E742" s="155"/>
      <c r="F742" s="10"/>
      <c r="G742" s="17"/>
      <c r="H742" s="10"/>
      <c r="I742" s="17"/>
      <c r="J742" s="82"/>
      <c r="K742" s="340"/>
      <c r="L742" s="344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16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>
      <c r="A743" s="10" t="s">
        <v>255</v>
      </c>
      <c r="B743" s="226" t="s">
        <v>95</v>
      </c>
      <c r="C743" s="10" t="s">
        <v>97</v>
      </c>
      <c r="D743" s="14" t="str">
        <v/>
      </c>
      <c r="E743" s="155"/>
      <c r="F743" s="10"/>
      <c r="G743" s="17"/>
      <c r="H743" s="10"/>
      <c r="I743" s="17"/>
      <c r="J743" s="82"/>
      <c r="K743" s="340"/>
      <c r="L743" s="344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8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>
      <c r="A744" s="10" t="s">
        <v>255</v>
      </c>
      <c r="B744" s="226" t="s">
        <v>95</v>
      </c>
      <c r="C744" s="10" t="s">
        <v>97</v>
      </c>
      <c r="D744" s="14"/>
      <c r="E744" s="155"/>
      <c r="F744" s="10"/>
      <c r="G744" s="17"/>
      <c r="H744" s="10"/>
      <c r="I744" s="17"/>
      <c r="J744" s="82"/>
      <c r="K744" s="340"/>
      <c r="L744" s="344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8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>
      <c r="A745" s="10" t="s">
        <v>255</v>
      </c>
      <c r="B745" s="226" t="s">
        <v>95</v>
      </c>
      <c r="C745" s="10" t="s">
        <v>97</v>
      </c>
      <c r="D745" s="14"/>
      <c r="E745" s="155"/>
      <c r="F745" s="10"/>
      <c r="G745" s="17"/>
      <c r="H745" s="10"/>
      <c r="I745" s="17"/>
      <c r="J745" s="82"/>
      <c r="K745" s="340"/>
      <c r="L745" s="344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32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>
      <c r="A746" s="10" t="s">
        <v>255</v>
      </c>
      <c r="B746" s="226" t="s">
        <v>95</v>
      </c>
      <c r="C746" s="10" t="s">
        <v>97</v>
      </c>
      <c r="D746" s="14"/>
      <c r="E746" s="155"/>
      <c r="F746" s="10"/>
      <c r="G746" s="17"/>
      <c r="H746" s="10"/>
      <c r="I746" s="17"/>
      <c r="J746" s="82"/>
      <c r="K746" s="340"/>
      <c r="L746" s="344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32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>
      <c r="A747" s="10" t="s">
        <v>255</v>
      </c>
      <c r="B747" s="226" t="s">
        <v>95</v>
      </c>
      <c r="C747" s="10" t="s">
        <v>97</v>
      </c>
      <c r="D747" s="14"/>
      <c r="E747" s="155"/>
      <c r="F747" s="10"/>
      <c r="G747" s="17"/>
      <c r="H747" s="10"/>
      <c r="I747" s="17"/>
      <c r="J747" s="82"/>
      <c r="K747" s="340"/>
      <c r="L747" s="344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16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>
      <c r="A748" s="10" t="s">
        <v>255</v>
      </c>
      <c r="B748" s="226" t="s">
        <v>95</v>
      </c>
      <c r="C748" s="10" t="s">
        <v>97</v>
      </c>
      <c r="D748" s="14"/>
      <c r="E748" s="155"/>
      <c r="F748" s="10"/>
      <c r="G748" s="17"/>
      <c r="H748" s="10"/>
      <c r="I748" s="17"/>
      <c r="J748" s="82"/>
      <c r="K748" s="340"/>
      <c r="L748" s="344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>
      <c r="A749" s="10" t="s">
        <v>255</v>
      </c>
      <c r="B749" s="226" t="s">
        <v>95</v>
      </c>
      <c r="C749" s="10" t="s">
        <v>97</v>
      </c>
      <c r="D749" s="14"/>
      <c r="E749" s="155"/>
      <c r="F749" s="10"/>
      <c r="G749" s="17"/>
      <c r="H749" s="10"/>
      <c r="I749" s="17"/>
      <c r="J749" s="82"/>
      <c r="K749" s="340"/>
      <c r="L749" s="344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>
      <c r="A750" s="10" t="s">
        <v>255</v>
      </c>
      <c r="B750" s="226" t="s">
        <v>95</v>
      </c>
      <c r="C750" s="10" t="s">
        <v>97</v>
      </c>
      <c r="D750" s="14"/>
      <c r="E750" s="155"/>
      <c r="F750" s="10"/>
      <c r="G750" s="17"/>
      <c r="H750" s="10"/>
      <c r="I750" s="17"/>
      <c r="J750" s="82"/>
      <c r="K750" s="340"/>
      <c r="L750" s="344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Breezway 102mm Glass Infill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>
      <c r="A751" s="10" t="s">
        <v>255</v>
      </c>
      <c r="B751" s="226" t="s">
        <v>95</v>
      </c>
      <c r="C751" s="10" t="s">
        <v>97</v>
      </c>
      <c r="D751" s="14"/>
      <c r="E751" s="155"/>
      <c r="F751" s="10"/>
      <c r="G751" s="17"/>
      <c r="H751" s="10"/>
      <c r="I751" s="17"/>
      <c r="J751" s="82"/>
      <c r="K751" s="340"/>
      <c r="L751" s="344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>
      <c r="A752" s="10" t="s">
        <v>255</v>
      </c>
      <c r="B752" s="226" t="s">
        <v>95</v>
      </c>
      <c r="C752" s="10" t="s">
        <v>97</v>
      </c>
      <c r="D752" s="14"/>
      <c r="E752" s="155"/>
      <c r="F752" s="10"/>
      <c r="G752" s="17"/>
      <c r="H752" s="10"/>
      <c r="I752" s="17"/>
      <c r="J752" s="82"/>
      <c r="K752" s="340"/>
      <c r="L752" s="344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>
      <c r="A753" s="10" t="s">
        <v>255</v>
      </c>
      <c r="B753" s="226" t="s">
        <v>95</v>
      </c>
      <c r="C753" s="10" t="s">
        <v>97</v>
      </c>
      <c r="D753" s="14"/>
      <c r="E753" s="155"/>
      <c r="F753" s="10"/>
      <c r="G753" s="17"/>
      <c r="H753" s="10"/>
      <c r="I753" s="17"/>
      <c r="J753" s="82"/>
      <c r="K753" s="340"/>
      <c r="L753" s="344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>
      <c r="A754" s="10" t="s">
        <v>255</v>
      </c>
      <c r="B754" s="226" t="s">
        <v>95</v>
      </c>
      <c r="C754" s="10" t="s">
        <v>97</v>
      </c>
      <c r="D754" s="14"/>
      <c r="E754" s="155"/>
      <c r="F754" s="10"/>
      <c r="G754" s="17"/>
      <c r="H754" s="10"/>
      <c r="I754" s="17"/>
      <c r="J754" s="82"/>
      <c r="K754" s="340"/>
      <c r="L754" s="344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>
      <c r="A755" s="10" t="s">
        <v>255</v>
      </c>
      <c r="B755" s="226" t="s">
        <v>95</v>
      </c>
      <c r="C755" s="10"/>
      <c r="D755" s="14"/>
      <c r="E755" s="155"/>
      <c r="F755" s="10"/>
      <c r="G755" s="17"/>
      <c r="H755" s="10"/>
      <c r="I755" s="17"/>
      <c r="J755" s="82"/>
      <c r="K755" s="340"/>
      <c r="L755" s="344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>
      <c r="A756" s="10" t="s">
        <v>255</v>
      </c>
      <c r="B756" s="226" t="s">
        <v>95</v>
      </c>
      <c r="C756" s="10"/>
      <c r="D756" s="14"/>
      <c r="E756" s="155"/>
      <c r="F756" s="10"/>
      <c r="G756" s="17"/>
      <c r="H756" s="10"/>
      <c r="I756" s="17"/>
      <c r="J756" s="82"/>
      <c r="K756" s="340"/>
      <c r="L756" s="344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P/C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>
      <c r="A757" s="10" t="s">
        <v>255</v>
      </c>
      <c r="B757" s="226" t="s">
        <v>95</v>
      </c>
      <c r="C757" s="10"/>
      <c r="D757" s="14"/>
      <c r="E757" s="155"/>
      <c r="F757" s="10"/>
      <c r="G757" s="17"/>
      <c r="H757" s="10"/>
      <c r="I757" s="17"/>
      <c r="J757" s="82"/>
      <c r="K757" s="340"/>
      <c r="L757" s="344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32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>
      <c r="A758" s="10" t="s">
        <v>255</v>
      </c>
      <c r="B758" s="226" t="s">
        <v>95</v>
      </c>
      <c r="C758" s="10"/>
      <c r="D758" s="14"/>
      <c r="E758" s="155"/>
      <c r="F758" s="10"/>
      <c r="G758" s="17"/>
      <c r="H758" s="10"/>
      <c r="I758" s="17"/>
      <c r="J758" s="82"/>
      <c r="K758" s="340"/>
      <c r="L758" s="344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80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>
      <c r="A759" s="10" t="s">
        <v>255</v>
      </c>
      <c r="B759" s="226" t="s">
        <v>95</v>
      </c>
      <c r="C759" s="10"/>
      <c r="D759" s="14"/>
      <c r="E759" s="155"/>
      <c r="F759" s="10"/>
      <c r="G759" s="17"/>
      <c r="H759" s="10"/>
      <c r="I759" s="17"/>
      <c r="J759" s="82"/>
      <c r="K759" s="340"/>
      <c r="L759" s="344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160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>
      <c r="A760" s="10" t="s">
        <v>255</v>
      </c>
      <c r="B760" s="226" t="s">
        <v>95</v>
      </c>
      <c r="C760" s="10"/>
      <c r="D760" s="14"/>
      <c r="E760" s="155"/>
      <c r="F760" s="10"/>
      <c r="G760" s="17"/>
      <c r="H760" s="10"/>
      <c r="I760" s="17"/>
      <c r="J760" s="82"/>
      <c r="K760" s="340"/>
      <c r="L760" s="344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>
      <c r="A761" s="10" t="s">
        <v>255</v>
      </c>
      <c r="B761" s="226" t="s">
        <v>95</v>
      </c>
      <c r="C761" s="10"/>
      <c r="D761" s="14"/>
      <c r="E761" s="155"/>
      <c r="F761" s="10"/>
      <c r="G761" s="17"/>
      <c r="H761" s="10"/>
      <c r="I761" s="17"/>
      <c r="J761" s="82"/>
      <c r="K761" s="340"/>
      <c r="L761" s="344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16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>
      <c r="A762" s="10" t="s">
        <v>255</v>
      </c>
      <c r="B762" s="226" t="s">
        <v>95</v>
      </c>
      <c r="C762" s="10"/>
      <c r="D762" s="14"/>
      <c r="E762" s="155"/>
      <c r="F762" s="10"/>
      <c r="G762" s="17"/>
      <c r="H762" s="10"/>
      <c r="I762" s="17"/>
      <c r="J762" s="82"/>
      <c r="K762" s="340"/>
      <c r="L762" s="344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>
      <c r="A763" s="10" t="s">
        <v>255</v>
      </c>
      <c r="B763" s="226" t="s">
        <v>95</v>
      </c>
      <c r="C763" s="10"/>
      <c r="D763" s="14"/>
      <c r="E763" s="155"/>
      <c r="F763" s="10"/>
      <c r="G763" s="17"/>
      <c r="H763" s="10"/>
      <c r="I763" s="17"/>
      <c r="J763" s="82"/>
      <c r="K763" s="340"/>
      <c r="L763" s="344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4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>
      <c r="A764" s="10" t="s">
        <v>255</v>
      </c>
      <c r="B764" s="226" t="s">
        <v>95</v>
      </c>
      <c r="C764" s="10"/>
      <c r="D764" s="14"/>
      <c r="E764" s="155"/>
      <c r="F764" s="10"/>
      <c r="G764" s="17"/>
      <c r="H764" s="10"/>
      <c r="I764" s="17"/>
      <c r="J764" s="82"/>
      <c r="K764" s="340"/>
      <c r="L764" s="344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>
      <c r="A765" s="10" t="s">
        <v>255</v>
      </c>
      <c r="B765" s="226" t="s">
        <v>95</v>
      </c>
      <c r="C765" s="10"/>
      <c r="D765" s="14"/>
      <c r="E765" s="155"/>
      <c r="F765" s="10"/>
      <c r="G765" s="17"/>
      <c r="H765" s="10"/>
      <c r="I765" s="17"/>
      <c r="J765" s="82"/>
      <c r="K765" s="340"/>
      <c r="L765" s="344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>
      <c r="A766" s="10" t="s">
        <v>255</v>
      </c>
      <c r="B766" s="226" t="s">
        <v>95</v>
      </c>
      <c r="C766" s="10"/>
      <c r="D766" s="14"/>
      <c r="E766" s="155"/>
      <c r="F766" s="10"/>
      <c r="G766" s="17"/>
      <c r="H766" s="10"/>
      <c r="I766" s="17"/>
      <c r="J766" s="82"/>
      <c r="K766" s="340"/>
      <c r="L766" s="344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8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>
      <c r="A767" s="10" t="s">
        <v>255</v>
      </c>
      <c r="B767" s="226" t="s">
        <v>95</v>
      </c>
      <c r="C767" s="10"/>
      <c r="D767" s="14"/>
      <c r="E767" s="155"/>
      <c r="F767" s="10"/>
      <c r="G767" s="17"/>
      <c r="H767" s="10"/>
      <c r="I767" s="17"/>
      <c r="J767" s="82"/>
      <c r="K767" s="340"/>
      <c r="L767" s="344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>
      <c r="A768" s="10" t="s">
        <v>255</v>
      </c>
      <c r="B768" s="226" t="s">
        <v>95</v>
      </c>
      <c r="C768" s="10"/>
      <c r="D768" s="14"/>
      <c r="E768" s="155"/>
      <c r="F768" s="10"/>
      <c r="G768" s="17"/>
      <c r="H768" s="10"/>
      <c r="I768" s="17"/>
      <c r="J768" s="82"/>
      <c r="K768" s="340"/>
      <c r="L768" s="344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16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>
      <c r="A769" s="10" t="s">
        <v>255</v>
      </c>
      <c r="B769" s="226" t="s">
        <v>95</v>
      </c>
      <c r="C769" s="10"/>
      <c r="D769" s="14"/>
      <c r="E769" s="155"/>
      <c r="F769" s="10"/>
      <c r="G769" s="17"/>
      <c r="H769" s="10"/>
      <c r="I769" s="17"/>
      <c r="J769" s="82"/>
      <c r="K769" s="340"/>
      <c r="L769" s="344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8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>
      <c r="A770" s="10" t="s">
        <v>255</v>
      </c>
      <c r="B770" s="226" t="s">
        <v>95</v>
      </c>
      <c r="C770" s="10"/>
      <c r="D770" s="14"/>
      <c r="E770" s="155"/>
      <c r="F770" s="10"/>
      <c r="G770" s="17"/>
      <c r="H770" s="10"/>
      <c r="I770" s="17"/>
      <c r="J770" s="82"/>
      <c r="K770" s="340"/>
      <c r="L770" s="344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>
      <c r="A771" s="10" t="s">
        <v>255</v>
      </c>
      <c r="B771" s="226" t="s">
        <v>95</v>
      </c>
      <c r="C771" s="10"/>
      <c r="D771" s="14"/>
      <c r="E771" s="155"/>
      <c r="F771" s="10"/>
      <c r="G771" s="17"/>
      <c r="H771" s="10"/>
      <c r="I771" s="17"/>
      <c r="J771" s="82"/>
      <c r="K771" s="340"/>
      <c r="L771" s="344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>
      <c r="A772" s="10" t="s">
        <v>255</v>
      </c>
      <c r="B772" s="226" t="s">
        <v>95</v>
      </c>
      <c r="C772" s="10"/>
      <c r="D772" s="14"/>
      <c r="E772" s="155"/>
      <c r="F772" s="10"/>
      <c r="G772" s="17"/>
      <c r="H772" s="10"/>
      <c r="I772" s="17"/>
      <c r="J772" s="82"/>
      <c r="K772" s="340"/>
      <c r="L772" s="344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>
      <c r="A773" s="10" t="s">
        <v>255</v>
      </c>
      <c r="B773" s="226" t="s">
        <v>95</v>
      </c>
      <c r="C773" s="10"/>
      <c r="D773" s="14"/>
      <c r="E773" s="155"/>
      <c r="F773" s="10"/>
      <c r="G773" s="17"/>
      <c r="H773" s="10"/>
      <c r="I773" s="17"/>
      <c r="J773" s="82"/>
      <c r="K773" s="340"/>
      <c r="L773" s="344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>
      <c r="A774" s="10" t="s">
        <v>255</v>
      </c>
      <c r="B774" s="226" t="s">
        <v>95</v>
      </c>
      <c r="C774" s="10"/>
      <c r="D774" s="14"/>
      <c r="E774" s="155"/>
      <c r="F774" s="10"/>
      <c r="G774" s="17"/>
      <c r="H774" s="10"/>
      <c r="I774" s="17"/>
      <c r="J774" s="82"/>
      <c r="K774" s="340"/>
      <c r="L774" s="344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>
      <c r="A775" s="10" t="s">
        <v>255</v>
      </c>
      <c r="B775" s="226" t="s">
        <v>95</v>
      </c>
      <c r="C775" s="10"/>
      <c r="D775" s="14"/>
      <c r="E775" s="155"/>
      <c r="F775" s="10"/>
      <c r="G775" s="17"/>
      <c r="H775" s="10"/>
      <c r="I775" s="17"/>
      <c r="J775" s="82"/>
      <c r="K775" s="340"/>
      <c r="L775" s="344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>
      <c r="A776" s="10" t="s">
        <v>255</v>
      </c>
      <c r="B776" s="226" t="s">
        <v>95</v>
      </c>
      <c r="C776" s="10"/>
      <c r="D776" s="14"/>
      <c r="E776" s="155"/>
      <c r="F776" s="10"/>
      <c r="G776" s="17"/>
      <c r="H776" s="10"/>
      <c r="I776" s="17"/>
      <c r="J776" s="82"/>
      <c r="K776" s="340"/>
      <c r="L776" s="344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>
      <c r="A777" s="10" t="s">
        <v>255</v>
      </c>
      <c r="B777" s="226" t="s">
        <v>95</v>
      </c>
      <c r="C777" s="10"/>
      <c r="D777" s="14"/>
      <c r="E777" s="155"/>
      <c r="F777" s="10"/>
      <c r="G777" s="17"/>
      <c r="H777" s="10"/>
      <c r="I777" s="17"/>
      <c r="J777" s="82"/>
      <c r="K777" s="340"/>
      <c r="L777" s="344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>
      <c r="A778" s="10" t="s">
        <v>255</v>
      </c>
      <c r="B778" s="226" t="s">
        <v>95</v>
      </c>
      <c r="C778" s="10"/>
      <c r="D778" s="14"/>
      <c r="E778" s="155"/>
      <c r="F778" s="10"/>
      <c r="G778" s="17"/>
      <c r="H778" s="10"/>
      <c r="I778" s="17"/>
      <c r="J778" s="82"/>
      <c r="K778" s="340"/>
      <c r="L778" s="344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>
      <c r="A779" s="10" t="s">
        <v>255</v>
      </c>
      <c r="B779" s="226" t="s">
        <v>95</v>
      </c>
      <c r="C779" s="10"/>
      <c r="D779" s="14"/>
      <c r="E779" s="155"/>
      <c r="F779" s="10"/>
      <c r="G779" s="17"/>
      <c r="H779" s="10"/>
      <c r="I779" s="17"/>
      <c r="J779" s="82"/>
      <c r="K779" s="340"/>
      <c r="L779" s="344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>
      <c r="A780" s="10" t="s">
        <v>255</v>
      </c>
      <c r="B780" s="226" t="s">
        <v>95</v>
      </c>
      <c r="C780" s="10"/>
      <c r="D780" s="14"/>
      <c r="E780" s="155"/>
      <c r="F780" s="10"/>
      <c r="G780" s="17"/>
      <c r="H780" s="10"/>
      <c r="I780" s="17"/>
      <c r="J780" s="82"/>
      <c r="K780" s="340"/>
      <c r="L780" s="344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>
      <c r="A781" s="10" t="s">
        <v>255</v>
      </c>
      <c r="B781" s="226" t="s">
        <v>95</v>
      </c>
      <c r="C781" s="10"/>
      <c r="D781" s="14"/>
      <c r="E781" s="155"/>
      <c r="F781" s="10"/>
      <c r="G781" s="17"/>
      <c r="H781" s="10"/>
      <c r="I781" s="17"/>
      <c r="J781" s="82"/>
      <c r="K781" s="340"/>
      <c r="L781" s="344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>
      <c r="A782" s="10"/>
      <c r="B782" s="226"/>
      <c r="C782" s="10"/>
      <c r="D782" s="14"/>
      <c r="E782" s="155"/>
      <c r="F782" s="10"/>
      <c r="G782" s="17"/>
      <c r="H782" s="10"/>
      <c r="I782" s="17"/>
      <c r="J782" s="82"/>
      <c r="K782" s="340"/>
      <c r="L782" s="344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>
      <c r="A783" s="10"/>
      <c r="B783" s="226"/>
      <c r="C783" s="10"/>
      <c r="D783" s="14"/>
      <c r="E783" s="155"/>
      <c r="F783" s="10"/>
      <c r="G783" s="17"/>
      <c r="H783" s="10"/>
      <c r="I783" s="17"/>
      <c r="J783" s="82"/>
      <c r="K783" s="340"/>
      <c r="L783" s="344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>
      <c r="A784" s="10"/>
      <c r="B784" s="226"/>
      <c r="C784" s="10"/>
      <c r="D784" s="14"/>
      <c r="E784" s="155"/>
      <c r="F784" s="10"/>
      <c r="G784" s="17"/>
      <c r="H784" s="10"/>
      <c r="I784" s="17"/>
      <c r="J784" s="82"/>
      <c r="K784" s="340"/>
      <c r="L784" s="344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>
      <c r="A785" s="17"/>
      <c r="B785" s="227"/>
      <c r="C785" s="17"/>
      <c r="D785" s="18"/>
      <c r="E785" s="235"/>
      <c r="F785" s="17"/>
      <c r="G785" s="17"/>
      <c r="H785" s="10"/>
      <c r="I785" s="17"/>
      <c r="J785" s="82"/>
      <c r="K785" s="340"/>
      <c r="L785" s="344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>
      <c r="A786" s="10" t="s">
        <v>255</v>
      </c>
      <c r="B786" s="226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5" t="s">
        <v>257</v>
      </c>
      <c r="F786" s="10" t="s">
        <v>9</v>
      </c>
      <c r="G786" s="17"/>
      <c r="H786" s="10"/>
      <c r="I786" s="17"/>
      <c r="J786" s="82"/>
      <c r="K786" s="341">
        <v>0.64075099999999996</v>
      </c>
      <c r="L786" s="344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8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>
      <c r="A787" s="10" t="s">
        <v>255</v>
      </c>
      <c r="B787" s="226" t="s">
        <v>13</v>
      </c>
      <c r="C787" s="10" t="s">
        <v>97</v>
      </c>
      <c r="D787" s="14" t="str">
        <v>Black Aluminium Mesh 1.6mm</v>
      </c>
      <c r="E787" s="155" t="s">
        <v>269</v>
      </c>
      <c r="F787" s="11"/>
      <c r="G787" s="17"/>
      <c r="H787" s="10"/>
      <c r="I787" s="17"/>
      <c r="J787" s="82"/>
      <c r="K787" s="340"/>
      <c r="L787" s="344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8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>
      <c r="A788" s="10" t="s">
        <v>255</v>
      </c>
      <c r="B788" s="226" t="s">
        <v>13</v>
      </c>
      <c r="C788" s="10" t="s">
        <v>97</v>
      </c>
      <c r="D788" s="14" t="str">
        <v>Black Aluminium Mesh 1.8mm</v>
      </c>
      <c r="E788" s="155"/>
      <c r="F788" s="10"/>
      <c r="G788" s="17"/>
      <c r="H788" s="10"/>
      <c r="I788" s="17"/>
      <c r="J788" s="82"/>
      <c r="K788" s="340"/>
      <c r="L788" s="344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16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>
      <c r="A789" s="10" t="s">
        <v>255</v>
      </c>
      <c r="B789" s="226" t="s">
        <v>13</v>
      </c>
      <c r="C789" s="10" t="s">
        <v>97</v>
      </c>
      <c r="D789" s="14" t="str">
        <v>Black Stainless Steel Mesh 1.0mm</v>
      </c>
      <c r="E789" s="155"/>
      <c r="F789" s="10"/>
      <c r="G789" s="17"/>
      <c r="H789" s="10"/>
      <c r="I789" s="17"/>
      <c r="J789" s="82"/>
      <c r="K789" s="340"/>
      <c r="L789" s="344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16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>
      <c r="A790" s="10" t="s">
        <v>255</v>
      </c>
      <c r="B790" s="226" t="s">
        <v>13</v>
      </c>
      <c r="C790" s="10" t="s">
        <v>97</v>
      </c>
      <c r="D790" s="14" t="str">
        <v/>
      </c>
      <c r="E790" s="155"/>
      <c r="F790" s="10"/>
      <c r="G790" s="17"/>
      <c r="H790" s="10"/>
      <c r="I790" s="17"/>
      <c r="J790" s="82"/>
      <c r="K790" s="340"/>
      <c r="L790" s="344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16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>
      <c r="A791" s="10" t="s">
        <v>255</v>
      </c>
      <c r="B791" s="226" t="s">
        <v>13</v>
      </c>
      <c r="C791" s="10" t="s">
        <v>97</v>
      </c>
      <c r="D791" s="14" t="str">
        <v/>
      </c>
      <c r="E791" s="155"/>
      <c r="F791" s="10"/>
      <c r="G791" s="17"/>
      <c r="H791" s="10"/>
      <c r="I791" s="17"/>
      <c r="J791" s="82"/>
      <c r="K791" s="340"/>
      <c r="L791" s="344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16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>
      <c r="A792" s="10" t="s">
        <v>255</v>
      </c>
      <c r="B792" s="226" t="s">
        <v>13</v>
      </c>
      <c r="C792" s="10" t="s">
        <v>97</v>
      </c>
      <c r="D792" s="14" t="str">
        <v/>
      </c>
      <c r="E792" s="155"/>
      <c r="F792" s="10"/>
      <c r="G792" s="17"/>
      <c r="H792" s="10"/>
      <c r="I792" s="17"/>
      <c r="J792" s="82"/>
      <c r="K792" s="340"/>
      <c r="L792" s="344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8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>
      <c r="A793" s="10" t="s">
        <v>255</v>
      </c>
      <c r="B793" s="226" t="s">
        <v>13</v>
      </c>
      <c r="C793" s="10" t="s">
        <v>97</v>
      </c>
      <c r="D793" s="14"/>
      <c r="E793" s="155"/>
      <c r="F793" s="10"/>
      <c r="G793" s="17"/>
      <c r="H793" s="10"/>
      <c r="I793" s="17"/>
      <c r="J793" s="82"/>
      <c r="K793" s="340"/>
      <c r="L793" s="344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8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>
      <c r="A794" s="10" t="s">
        <v>255</v>
      </c>
      <c r="B794" s="226" t="s">
        <v>13</v>
      </c>
      <c r="C794" s="10" t="s">
        <v>97</v>
      </c>
      <c r="D794" s="14"/>
      <c r="E794" s="155"/>
      <c r="F794" s="10"/>
      <c r="G794" s="17"/>
      <c r="H794" s="10"/>
      <c r="I794" s="17"/>
      <c r="J794" s="82"/>
      <c r="K794" s="340"/>
      <c r="L794" s="344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32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>
      <c r="A795" s="10" t="s">
        <v>255</v>
      </c>
      <c r="B795" s="226" t="s">
        <v>13</v>
      </c>
      <c r="C795" s="10" t="s">
        <v>97</v>
      </c>
      <c r="D795" s="14"/>
      <c r="E795" s="155"/>
      <c r="F795" s="10"/>
      <c r="G795" s="17"/>
      <c r="H795" s="10"/>
      <c r="I795" s="17"/>
      <c r="J795" s="82"/>
      <c r="K795" s="340"/>
      <c r="L795" s="344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32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>
      <c r="A796" s="10" t="s">
        <v>255</v>
      </c>
      <c r="B796" s="226" t="s">
        <v>13</v>
      </c>
      <c r="C796" s="10" t="s">
        <v>97</v>
      </c>
      <c r="D796" s="14"/>
      <c r="E796" s="155"/>
      <c r="F796" s="10"/>
      <c r="G796" s="17"/>
      <c r="H796" s="10"/>
      <c r="I796" s="17"/>
      <c r="J796" s="82"/>
      <c r="K796" s="340"/>
      <c r="L796" s="344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16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>
      <c r="A797" s="10" t="s">
        <v>255</v>
      </c>
      <c r="B797" s="226" t="s">
        <v>13</v>
      </c>
      <c r="C797" s="10" t="s">
        <v>97</v>
      </c>
      <c r="D797" s="14"/>
      <c r="E797" s="155"/>
      <c r="F797" s="10"/>
      <c r="G797" s="17"/>
      <c r="H797" s="10"/>
      <c r="I797" s="17"/>
      <c r="J797" s="82"/>
      <c r="K797" s="340"/>
      <c r="L797" s="344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>
      <c r="A798" s="10" t="s">
        <v>255</v>
      </c>
      <c r="B798" s="226" t="s">
        <v>13</v>
      </c>
      <c r="C798" s="10" t="s">
        <v>97</v>
      </c>
      <c r="D798" s="14"/>
      <c r="E798" s="155"/>
      <c r="F798" s="10"/>
      <c r="G798" s="17"/>
      <c r="H798" s="10"/>
      <c r="I798" s="17"/>
      <c r="J798" s="82"/>
      <c r="K798" s="340"/>
      <c r="L798" s="344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>
      <c r="A799" s="10" t="s">
        <v>255</v>
      </c>
      <c r="B799" s="226" t="s">
        <v>13</v>
      </c>
      <c r="C799" s="10" t="s">
        <v>97</v>
      </c>
      <c r="D799" s="14"/>
      <c r="E799" s="155"/>
      <c r="F799" s="10"/>
      <c r="G799" s="17"/>
      <c r="H799" s="10"/>
      <c r="I799" s="17"/>
      <c r="J799" s="82"/>
      <c r="K799" s="340"/>
      <c r="L799" s="344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Breezway 102mm Glass Infill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>
      <c r="A800" s="10" t="s">
        <v>255</v>
      </c>
      <c r="B800" s="226" t="s">
        <v>13</v>
      </c>
      <c r="C800" s="10" t="s">
        <v>97</v>
      </c>
      <c r="D800" s="14"/>
      <c r="E800" s="155"/>
      <c r="F800" s="10"/>
      <c r="G800" s="17"/>
      <c r="H800" s="10"/>
      <c r="I800" s="17"/>
      <c r="J800" s="82"/>
      <c r="K800" s="340"/>
      <c r="L800" s="344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>
      <c r="A801" s="10" t="s">
        <v>255</v>
      </c>
      <c r="B801" s="226" t="s">
        <v>13</v>
      </c>
      <c r="C801" s="10" t="s">
        <v>97</v>
      </c>
      <c r="D801" s="14"/>
      <c r="E801" s="155"/>
      <c r="F801" s="10"/>
      <c r="G801" s="17"/>
      <c r="H801" s="10"/>
      <c r="I801" s="17"/>
      <c r="J801" s="82"/>
      <c r="K801" s="340"/>
      <c r="L801" s="344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>
      <c r="A802" s="10" t="s">
        <v>255</v>
      </c>
      <c r="B802" s="226" t="s">
        <v>13</v>
      </c>
      <c r="C802" s="10" t="s">
        <v>97</v>
      </c>
      <c r="D802" s="14"/>
      <c r="E802" s="155"/>
      <c r="F802" s="10"/>
      <c r="G802" s="17"/>
      <c r="H802" s="10"/>
      <c r="I802" s="17"/>
      <c r="J802" s="82"/>
      <c r="K802" s="340"/>
      <c r="L802" s="344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>
      <c r="A803" s="10" t="s">
        <v>255</v>
      </c>
      <c r="B803" s="226" t="s">
        <v>13</v>
      </c>
      <c r="C803" s="10" t="s">
        <v>97</v>
      </c>
      <c r="D803" s="14"/>
      <c r="E803" s="155"/>
      <c r="F803" s="10"/>
      <c r="G803" s="17"/>
      <c r="H803" s="10"/>
      <c r="I803" s="17"/>
      <c r="J803" s="82"/>
      <c r="K803" s="340"/>
      <c r="L803" s="344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>
      <c r="A804" s="10" t="s">
        <v>255</v>
      </c>
      <c r="B804" s="226" t="s">
        <v>13</v>
      </c>
      <c r="C804" s="10" t="s">
        <v>97</v>
      </c>
      <c r="D804" s="14"/>
      <c r="E804" s="155"/>
      <c r="F804" s="10"/>
      <c r="G804" s="17"/>
      <c r="H804" s="10"/>
      <c r="I804" s="17"/>
      <c r="J804" s="82"/>
      <c r="K804" s="340"/>
      <c r="L804" s="344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>
      <c r="A805" s="10" t="s">
        <v>255</v>
      </c>
      <c r="B805" s="226" t="s">
        <v>13</v>
      </c>
      <c r="C805" s="10"/>
      <c r="D805" s="14"/>
      <c r="E805" s="155"/>
      <c r="F805" s="10"/>
      <c r="G805" s="17"/>
      <c r="H805" s="10"/>
      <c r="I805" s="17"/>
      <c r="J805" s="82"/>
      <c r="K805" s="340"/>
      <c r="L805" s="344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P/C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>
      <c r="A806" s="10" t="s">
        <v>255</v>
      </c>
      <c r="B806" s="226" t="s">
        <v>13</v>
      </c>
      <c r="C806" s="10"/>
      <c r="D806" s="14"/>
      <c r="E806" s="155"/>
      <c r="F806" s="10"/>
      <c r="G806" s="17"/>
      <c r="H806" s="10"/>
      <c r="I806" s="17"/>
      <c r="J806" s="82"/>
      <c r="K806" s="340"/>
      <c r="L806" s="344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32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>
      <c r="A807" s="10" t="s">
        <v>255</v>
      </c>
      <c r="B807" s="226" t="s">
        <v>13</v>
      </c>
      <c r="C807" s="10"/>
      <c r="D807" s="14"/>
      <c r="E807" s="155"/>
      <c r="F807" s="10"/>
      <c r="G807" s="17"/>
      <c r="H807" s="10"/>
      <c r="I807" s="17"/>
      <c r="J807" s="82"/>
      <c r="K807" s="340"/>
      <c r="L807" s="344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80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>
      <c r="A808" s="10" t="s">
        <v>255</v>
      </c>
      <c r="B808" s="226" t="s">
        <v>13</v>
      </c>
      <c r="C808" s="10"/>
      <c r="D808" s="14"/>
      <c r="E808" s="155"/>
      <c r="F808" s="10"/>
      <c r="G808" s="17"/>
      <c r="H808" s="10"/>
      <c r="I808" s="17"/>
      <c r="J808" s="82"/>
      <c r="K808" s="340"/>
      <c r="L808" s="344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160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>
      <c r="A809" s="10" t="s">
        <v>255</v>
      </c>
      <c r="B809" s="226" t="s">
        <v>13</v>
      </c>
      <c r="C809" s="10"/>
      <c r="D809" s="14"/>
      <c r="E809" s="155"/>
      <c r="F809" s="10"/>
      <c r="G809" s="17"/>
      <c r="H809" s="10"/>
      <c r="I809" s="17"/>
      <c r="J809" s="82"/>
      <c r="K809" s="340"/>
      <c r="L809" s="344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>
      <c r="A810" s="10" t="s">
        <v>255</v>
      </c>
      <c r="B810" s="226" t="s">
        <v>13</v>
      </c>
      <c r="C810" s="10"/>
      <c r="D810" s="14"/>
      <c r="E810" s="155"/>
      <c r="F810" s="10"/>
      <c r="G810" s="17"/>
      <c r="H810" s="10"/>
      <c r="I810" s="17"/>
      <c r="J810" s="82"/>
      <c r="K810" s="340"/>
      <c r="L810" s="344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16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>
      <c r="A811" s="10" t="s">
        <v>255</v>
      </c>
      <c r="B811" s="226" t="s">
        <v>13</v>
      </c>
      <c r="C811" s="10"/>
      <c r="D811" s="14"/>
      <c r="E811" s="155"/>
      <c r="F811" s="10"/>
      <c r="G811" s="17"/>
      <c r="H811" s="10"/>
      <c r="I811" s="17"/>
      <c r="J811" s="82"/>
      <c r="K811" s="340"/>
      <c r="L811" s="344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>
      <c r="A812" s="10" t="s">
        <v>255</v>
      </c>
      <c r="B812" s="226" t="s">
        <v>13</v>
      </c>
      <c r="C812" s="10"/>
      <c r="D812" s="14"/>
      <c r="E812" s="155"/>
      <c r="F812" s="10"/>
      <c r="G812" s="17"/>
      <c r="H812" s="10"/>
      <c r="I812" s="17"/>
      <c r="J812" s="82"/>
      <c r="K812" s="340"/>
      <c r="L812" s="344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>
      <c r="A813" s="10" t="s">
        <v>255</v>
      </c>
      <c r="B813" s="226" t="s">
        <v>13</v>
      </c>
      <c r="C813" s="10"/>
      <c r="D813" s="14"/>
      <c r="E813" s="155"/>
      <c r="F813" s="10"/>
      <c r="G813" s="17"/>
      <c r="H813" s="10"/>
      <c r="I813" s="17"/>
      <c r="J813" s="82"/>
      <c r="K813" s="340"/>
      <c r="L813" s="344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>
      <c r="A814" s="10" t="s">
        <v>255</v>
      </c>
      <c r="B814" s="226" t="s">
        <v>13</v>
      </c>
      <c r="C814" s="10"/>
      <c r="D814" s="14"/>
      <c r="E814" s="155"/>
      <c r="F814" s="10"/>
      <c r="G814" s="17"/>
      <c r="H814" s="10"/>
      <c r="I814" s="17"/>
      <c r="J814" s="82"/>
      <c r="K814" s="340"/>
      <c r="L814" s="344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>
      <c r="A815" s="10" t="s">
        <v>255</v>
      </c>
      <c r="B815" s="226" t="s">
        <v>13</v>
      </c>
      <c r="C815" s="10"/>
      <c r="D815" s="14"/>
      <c r="E815" s="155"/>
      <c r="F815" s="10"/>
      <c r="G815" s="17"/>
      <c r="H815" s="10"/>
      <c r="I815" s="17"/>
      <c r="J815" s="82"/>
      <c r="K815" s="340"/>
      <c r="L815" s="344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>
      <c r="A816" s="10" t="s">
        <v>255</v>
      </c>
      <c r="B816" s="226" t="s">
        <v>13</v>
      </c>
      <c r="C816" s="10"/>
      <c r="D816" s="14"/>
      <c r="E816" s="155"/>
      <c r="F816" s="10"/>
      <c r="G816" s="17"/>
      <c r="H816" s="10"/>
      <c r="I816" s="17"/>
      <c r="J816" s="82"/>
      <c r="K816" s="340"/>
      <c r="L816" s="344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16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>
      <c r="A817" s="10" t="s">
        <v>255</v>
      </c>
      <c r="B817" s="226" t="s">
        <v>13</v>
      </c>
      <c r="C817" s="10"/>
      <c r="D817" s="14"/>
      <c r="E817" s="155"/>
      <c r="F817" s="10"/>
      <c r="G817" s="17"/>
      <c r="H817" s="10"/>
      <c r="I817" s="17"/>
      <c r="J817" s="82"/>
      <c r="K817" s="340"/>
      <c r="L817" s="344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>
      <c r="A818" s="10" t="s">
        <v>255</v>
      </c>
      <c r="B818" s="226" t="s">
        <v>13</v>
      </c>
      <c r="C818" s="10"/>
      <c r="D818" s="14"/>
      <c r="E818" s="155"/>
      <c r="F818" s="10"/>
      <c r="G818" s="17"/>
      <c r="H818" s="10"/>
      <c r="I818" s="17"/>
      <c r="J818" s="82"/>
      <c r="K818" s="340"/>
      <c r="L818" s="344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>
      <c r="A819" s="10" t="s">
        <v>255</v>
      </c>
      <c r="B819" s="226" t="s">
        <v>13</v>
      </c>
      <c r="C819" s="10"/>
      <c r="D819" s="14"/>
      <c r="E819" s="155"/>
      <c r="F819" s="10"/>
      <c r="G819" s="17"/>
      <c r="H819" s="10"/>
      <c r="I819" s="17"/>
      <c r="J819" s="82"/>
      <c r="K819" s="340"/>
      <c r="L819" s="344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>
      <c r="A820" s="10" t="s">
        <v>255</v>
      </c>
      <c r="B820" s="226" t="s">
        <v>13</v>
      </c>
      <c r="C820" s="10"/>
      <c r="D820" s="14"/>
      <c r="E820" s="155"/>
      <c r="F820" s="10"/>
      <c r="G820" s="17"/>
      <c r="H820" s="10"/>
      <c r="I820" s="17"/>
      <c r="J820" s="82"/>
      <c r="K820" s="340"/>
      <c r="L820" s="344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>
      <c r="A821" s="10" t="s">
        <v>255</v>
      </c>
      <c r="B821" s="226" t="s">
        <v>13</v>
      </c>
      <c r="C821" s="10"/>
      <c r="D821" s="14"/>
      <c r="E821" s="155"/>
      <c r="F821" s="10"/>
      <c r="G821" s="17"/>
      <c r="H821" s="10"/>
      <c r="I821" s="17"/>
      <c r="J821" s="82"/>
      <c r="K821" s="340"/>
      <c r="L821" s="344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>
      <c r="A822" s="10" t="s">
        <v>255</v>
      </c>
      <c r="B822" s="226" t="s">
        <v>13</v>
      </c>
      <c r="C822" s="10"/>
      <c r="D822" s="14"/>
      <c r="E822" s="155"/>
      <c r="F822" s="10"/>
      <c r="G822" s="17"/>
      <c r="H822" s="10"/>
      <c r="I822" s="17"/>
      <c r="J822" s="82"/>
      <c r="K822" s="340"/>
      <c r="L822" s="344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>
      <c r="A823" s="10" t="s">
        <v>255</v>
      </c>
      <c r="B823" s="226" t="s">
        <v>13</v>
      </c>
      <c r="C823" s="10"/>
      <c r="D823" s="14"/>
      <c r="E823" s="155"/>
      <c r="F823" s="10"/>
      <c r="G823" s="17"/>
      <c r="H823" s="10"/>
      <c r="I823" s="17"/>
      <c r="J823" s="82"/>
      <c r="K823" s="340"/>
      <c r="L823" s="344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>
      <c r="A824" s="10" t="s">
        <v>255</v>
      </c>
      <c r="B824" s="226" t="s">
        <v>13</v>
      </c>
      <c r="C824" s="10"/>
      <c r="D824" s="14"/>
      <c r="E824" s="155"/>
      <c r="F824" s="10"/>
      <c r="G824" s="17"/>
      <c r="H824" s="10"/>
      <c r="I824" s="17"/>
      <c r="J824" s="82"/>
      <c r="K824" s="340"/>
      <c r="L824" s="344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>
      <c r="A825" s="10" t="s">
        <v>255</v>
      </c>
      <c r="B825" s="226" t="s">
        <v>13</v>
      </c>
      <c r="C825" s="10"/>
      <c r="D825" s="14"/>
      <c r="E825" s="155"/>
      <c r="F825" s="10"/>
      <c r="G825" s="17"/>
      <c r="H825" s="10"/>
      <c r="I825" s="17"/>
      <c r="J825" s="82"/>
      <c r="K825" s="340"/>
      <c r="L825" s="344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>
      <c r="A826" s="10" t="s">
        <v>255</v>
      </c>
      <c r="B826" s="226" t="s">
        <v>13</v>
      </c>
      <c r="C826" s="10"/>
      <c r="D826" s="14"/>
      <c r="E826" s="155"/>
      <c r="F826" s="10"/>
      <c r="G826" s="17"/>
      <c r="H826" s="10"/>
      <c r="I826" s="17"/>
      <c r="J826" s="82"/>
      <c r="K826" s="340"/>
      <c r="L826" s="344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>
      <c r="A827" s="10" t="s">
        <v>255</v>
      </c>
      <c r="B827" s="226" t="s">
        <v>13</v>
      </c>
      <c r="C827" s="10"/>
      <c r="D827" s="14"/>
      <c r="E827" s="155"/>
      <c r="F827" s="10"/>
      <c r="G827" s="17"/>
      <c r="H827" s="10"/>
      <c r="I827" s="17"/>
      <c r="J827" s="82"/>
      <c r="K827" s="340"/>
      <c r="L827" s="344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>
      <c r="A828" s="10" t="s">
        <v>255</v>
      </c>
      <c r="B828" s="226" t="s">
        <v>13</v>
      </c>
      <c r="C828" s="10"/>
      <c r="D828" s="14"/>
      <c r="E828" s="155"/>
      <c r="F828" s="10"/>
      <c r="G828" s="17"/>
      <c r="H828" s="10"/>
      <c r="I828" s="17"/>
      <c r="J828" s="82"/>
      <c r="K828" s="340"/>
      <c r="L828" s="344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>
      <c r="A829" s="10" t="s">
        <v>255</v>
      </c>
      <c r="B829" s="226" t="s">
        <v>13</v>
      </c>
      <c r="C829" s="10"/>
      <c r="D829" s="14"/>
      <c r="E829" s="155"/>
      <c r="F829" s="10"/>
      <c r="G829" s="17"/>
      <c r="H829" s="10"/>
      <c r="I829" s="17"/>
      <c r="J829" s="82"/>
      <c r="K829" s="340"/>
      <c r="L829" s="344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>
      <c r="A830" s="10" t="s">
        <v>255</v>
      </c>
      <c r="B830" s="226" t="s">
        <v>13</v>
      </c>
      <c r="C830" s="10"/>
      <c r="D830" s="14"/>
      <c r="E830" s="155"/>
      <c r="F830" s="10"/>
      <c r="G830" s="17"/>
      <c r="H830" s="10"/>
      <c r="I830" s="17"/>
      <c r="J830" s="82"/>
      <c r="K830" s="340"/>
      <c r="L830" s="344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>
      <c r="A831" s="10"/>
      <c r="B831" s="226"/>
      <c r="C831" s="10"/>
      <c r="D831" s="14"/>
      <c r="E831" s="155"/>
      <c r="F831" s="10"/>
      <c r="G831" s="17"/>
      <c r="H831" s="10"/>
      <c r="I831" s="17"/>
      <c r="J831" s="82"/>
      <c r="K831" s="340"/>
      <c r="L831" s="344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>
      <c r="A832" s="10"/>
      <c r="B832" s="226"/>
      <c r="C832" s="10"/>
      <c r="D832" s="14"/>
      <c r="E832" s="155"/>
      <c r="F832" s="10"/>
      <c r="G832" s="17"/>
      <c r="H832" s="10"/>
      <c r="I832" s="17"/>
      <c r="J832" s="82"/>
      <c r="K832" s="340"/>
      <c r="L832" s="344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>
      <c r="A833" s="10"/>
      <c r="B833" s="226"/>
      <c r="C833" s="10"/>
      <c r="D833" s="14"/>
      <c r="E833" s="155"/>
      <c r="F833" s="10"/>
      <c r="G833" s="17"/>
      <c r="H833" s="10"/>
      <c r="I833" s="17"/>
      <c r="J833" s="82"/>
      <c r="K833" s="340"/>
      <c r="L833" s="344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>
      <c r="A834" s="17"/>
      <c r="B834" s="227"/>
      <c r="C834" s="17"/>
      <c r="D834" s="18"/>
      <c r="E834" s="235"/>
      <c r="F834" s="17"/>
      <c r="G834" s="17"/>
      <c r="H834" s="10"/>
      <c r="I834" s="17"/>
      <c r="J834" s="82"/>
      <c r="K834" s="340"/>
      <c r="L834" s="344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>
      <c r="A835" s="10" t="s">
        <v>256</v>
      </c>
      <c r="B835" s="226" t="s">
        <v>177</v>
      </c>
      <c r="C835" s="10" t="s">
        <v>320</v>
      </c>
      <c r="D835" s="251" t="str" cm="1">
        <f t="array" ref="D835:D841">IFERROR(INDEX(_xlfn._xlws.FILTER(AllMaterialsbak!$BA$2:$BA$30, AllMaterialsbak!$BA$2:$BA$30&lt;&gt;""), _xlfn.SEQUENCE(7)), "")</f>
        <v>Default</v>
      </c>
      <c r="E835" s="155" t="s">
        <v>1431</v>
      </c>
      <c r="F835" s="11" t="s">
        <v>1432</v>
      </c>
      <c r="G835" s="17"/>
      <c r="H835" s="10"/>
      <c r="I835" s="17"/>
      <c r="J835" s="82"/>
      <c r="K835" s="341">
        <v>0.45</v>
      </c>
      <c r="L835" s="344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64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>
      <c r="A836" s="10" t="s">
        <v>256</v>
      </c>
      <c r="B836" s="226" t="s">
        <v>177</v>
      </c>
      <c r="C836" s="10" t="s">
        <v>320</v>
      </c>
      <c r="D836" s="251" t="str">
        <v>Black Aluminium Mesh 1.6mm</v>
      </c>
      <c r="E836" s="155"/>
      <c r="F836" s="11"/>
      <c r="G836" s="17"/>
      <c r="H836" s="10"/>
      <c r="I836" s="17"/>
      <c r="J836" s="82"/>
      <c r="K836" s="340"/>
      <c r="L836" s="344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32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>
      <c r="A837" s="10" t="s">
        <v>256</v>
      </c>
      <c r="B837" s="226" t="s">
        <v>177</v>
      </c>
      <c r="C837" s="10" t="s">
        <v>320</v>
      </c>
      <c r="D837" s="251" t="str">
        <v>Black Aluminium Mesh 1.8mm</v>
      </c>
      <c r="E837" s="155"/>
      <c r="F837" s="10"/>
      <c r="G837" s="17"/>
      <c r="H837" s="10"/>
      <c r="I837" s="17"/>
      <c r="J837" s="82"/>
      <c r="K837" s="340"/>
      <c r="L837" s="344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80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>
      <c r="A838" s="10" t="s">
        <v>256</v>
      </c>
      <c r="B838" s="226" t="s">
        <v>177</v>
      </c>
      <c r="C838" s="10" t="s">
        <v>320</v>
      </c>
      <c r="D838" s="14" t="str">
        <v>Black Stainless Steel Mesh 1.0mm</v>
      </c>
      <c r="E838" s="155"/>
      <c r="F838" s="10"/>
      <c r="G838" s="17"/>
      <c r="H838" s="10"/>
      <c r="I838" s="17"/>
      <c r="J838" s="82"/>
      <c r="K838" s="340"/>
      <c r="L838" s="344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>
      <c r="A839" s="10" t="s">
        <v>256</v>
      </c>
      <c r="B839" s="226" t="s">
        <v>177</v>
      </c>
      <c r="C839" s="10" t="s">
        <v>320</v>
      </c>
      <c r="D839" s="14" t="str">
        <v/>
      </c>
      <c r="E839" s="155"/>
      <c r="F839" s="10"/>
      <c r="G839" s="17"/>
      <c r="H839" s="10"/>
      <c r="I839" s="17"/>
      <c r="J839" s="82"/>
      <c r="K839" s="340"/>
      <c r="L839" s="344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>
      <c r="A840" s="10" t="s">
        <v>256</v>
      </c>
      <c r="B840" s="226" t="s">
        <v>177</v>
      </c>
      <c r="C840" s="10" t="s">
        <v>320</v>
      </c>
      <c r="D840" s="14" t="str">
        <v/>
      </c>
      <c r="E840" s="155"/>
      <c r="F840" s="10"/>
      <c r="G840" s="17"/>
      <c r="H840" s="10"/>
      <c r="I840" s="17"/>
      <c r="J840" s="82"/>
      <c r="K840" s="340"/>
      <c r="L840" s="344"/>
      <c r="M840" s="88"/>
      <c r="N840" s="10" t="s">
        <v>121</v>
      </c>
      <c r="O840" s="22" t="str">
        <f>$O$2</f>
        <v/>
      </c>
      <c r="P840" s="21" t="str">
        <f>Enginuity!$A$19</f>
        <v>P/C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>
      <c r="A841" s="10" t="s">
        <v>256</v>
      </c>
      <c r="B841" s="226" t="s">
        <v>177</v>
      </c>
      <c r="C841" s="10" t="s">
        <v>320</v>
      </c>
      <c r="D841" s="14" t="str">
        <v/>
      </c>
      <c r="E841" s="155"/>
      <c r="F841" s="10"/>
      <c r="G841" s="17"/>
      <c r="H841" s="10"/>
      <c r="I841" s="17"/>
      <c r="J841" s="82"/>
      <c r="K841" s="340"/>
      <c r="L841" s="344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2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>
      <c r="A842" s="10" t="s">
        <v>256</v>
      </c>
      <c r="B842" s="226" t="s">
        <v>177</v>
      </c>
      <c r="C842" s="10" t="s">
        <v>320</v>
      </c>
      <c r="D842" s="14"/>
      <c r="E842" s="155"/>
      <c r="F842" s="10"/>
      <c r="G842" s="17"/>
      <c r="H842" s="10"/>
      <c r="I842" s="17"/>
      <c r="J842" s="82"/>
      <c r="K842" s="340"/>
      <c r="L842" s="344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>
      <c r="A843" s="10"/>
      <c r="B843" s="226"/>
      <c r="C843" s="10"/>
      <c r="D843" s="14"/>
      <c r="E843" s="155"/>
      <c r="F843" s="10"/>
      <c r="G843" s="17"/>
      <c r="H843" s="10"/>
      <c r="I843" s="17"/>
      <c r="J843" s="82"/>
      <c r="K843" s="340"/>
      <c r="L843" s="344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>
      <c r="A844" s="10"/>
      <c r="B844" s="226"/>
      <c r="C844" s="10"/>
      <c r="D844" s="14"/>
      <c r="E844" s="155"/>
      <c r="F844" s="10"/>
      <c r="G844" s="17"/>
      <c r="H844" s="10"/>
      <c r="I844" s="17"/>
      <c r="J844" s="82"/>
      <c r="K844" s="340"/>
      <c r="L844" s="344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>
      <c r="A845" s="10"/>
      <c r="B845" s="226"/>
      <c r="C845" s="10"/>
      <c r="D845" s="14"/>
      <c r="E845" s="155"/>
      <c r="F845" s="10"/>
      <c r="G845" s="17"/>
      <c r="H845" s="10"/>
      <c r="I845" s="17"/>
      <c r="J845" s="82"/>
      <c r="K845" s="340"/>
      <c r="L845" s="344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>
      <c r="A846" s="10"/>
      <c r="B846" s="226"/>
      <c r="C846" s="10"/>
      <c r="D846" s="14"/>
      <c r="E846" s="155"/>
      <c r="F846" s="10"/>
      <c r="G846" s="17"/>
      <c r="H846" s="10"/>
      <c r="I846" s="17"/>
      <c r="J846" s="82"/>
      <c r="K846" s="340"/>
      <c r="L846" s="344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>
      <c r="A847" s="10"/>
      <c r="B847" s="226"/>
      <c r="C847" s="10"/>
      <c r="D847" s="14"/>
      <c r="E847" s="155"/>
      <c r="F847" s="10"/>
      <c r="G847" s="17"/>
      <c r="H847" s="10"/>
      <c r="I847" s="17"/>
      <c r="J847" s="82"/>
      <c r="K847" s="340"/>
      <c r="L847" s="344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>
      <c r="A848" s="10"/>
      <c r="B848" s="226"/>
      <c r="C848" s="10"/>
      <c r="D848" s="14"/>
      <c r="E848" s="155"/>
      <c r="F848" s="10"/>
      <c r="G848" s="17"/>
      <c r="H848" s="10"/>
      <c r="I848" s="17"/>
      <c r="J848" s="82"/>
      <c r="K848" s="340"/>
      <c r="L848" s="344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>
      <c r="A849" s="10"/>
      <c r="B849" s="226"/>
      <c r="C849" s="10"/>
      <c r="D849" s="14"/>
      <c r="E849" s="155"/>
      <c r="F849" s="10"/>
      <c r="G849" s="17"/>
      <c r="H849" s="10"/>
      <c r="I849" s="17"/>
      <c r="J849" s="82"/>
      <c r="K849" s="340"/>
      <c r="L849" s="344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>
      <c r="A850" s="10"/>
      <c r="B850" s="226"/>
      <c r="C850" s="10"/>
      <c r="D850" s="14"/>
      <c r="E850" s="155"/>
      <c r="F850" s="10"/>
      <c r="G850" s="17"/>
      <c r="H850" s="10"/>
      <c r="I850" s="17"/>
      <c r="J850" s="82"/>
      <c r="K850" s="340"/>
      <c r="L850" s="344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>
      <c r="A851" s="10"/>
      <c r="B851" s="226"/>
      <c r="C851" s="10"/>
      <c r="D851" s="14"/>
      <c r="E851" s="155"/>
      <c r="F851" s="10"/>
      <c r="G851" s="17"/>
      <c r="H851" s="10"/>
      <c r="I851" s="17"/>
      <c r="J851" s="82"/>
      <c r="K851" s="340"/>
      <c r="L851" s="344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>
      <c r="A852" s="10"/>
      <c r="B852" s="226"/>
      <c r="C852" s="10"/>
      <c r="D852" s="14"/>
      <c r="E852" s="155"/>
      <c r="F852" s="11"/>
      <c r="G852" s="17"/>
      <c r="H852" s="10"/>
      <c r="I852" s="17"/>
      <c r="J852" s="82"/>
      <c r="K852" s="340"/>
      <c r="L852" s="344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>
      <c r="A853" s="10"/>
      <c r="B853" s="226"/>
      <c r="C853" s="10"/>
      <c r="D853" s="14"/>
      <c r="E853" s="155"/>
      <c r="F853" s="11"/>
      <c r="G853" s="17"/>
      <c r="H853" s="10"/>
      <c r="I853" s="17"/>
      <c r="J853" s="82"/>
      <c r="K853" s="340"/>
      <c r="L853" s="344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>
      <c r="A854" s="10"/>
      <c r="B854" s="226"/>
      <c r="C854" s="10"/>
      <c r="D854" s="14"/>
      <c r="E854" s="155"/>
      <c r="F854" s="10"/>
      <c r="G854" s="17"/>
      <c r="H854" s="10"/>
      <c r="I854" s="17"/>
      <c r="J854" s="82"/>
      <c r="K854" s="340"/>
      <c r="L854" s="344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>
      <c r="A855" s="10"/>
      <c r="B855" s="226"/>
      <c r="C855" s="10"/>
      <c r="D855" s="14"/>
      <c r="E855" s="155"/>
      <c r="F855" s="10"/>
      <c r="G855" s="17"/>
      <c r="H855" s="10"/>
      <c r="I855" s="17"/>
      <c r="J855" s="82"/>
      <c r="K855" s="340"/>
      <c r="L855" s="344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>
      <c r="A856" s="10"/>
      <c r="B856" s="226"/>
      <c r="C856" s="10"/>
      <c r="D856" s="14"/>
      <c r="E856" s="155"/>
      <c r="F856" s="10"/>
      <c r="G856" s="17"/>
      <c r="H856" s="10"/>
      <c r="I856" s="17"/>
      <c r="J856" s="82"/>
      <c r="K856" s="340"/>
      <c r="L856" s="344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>
      <c r="A857" s="10"/>
      <c r="B857" s="226"/>
      <c r="C857" s="10"/>
      <c r="D857" s="14"/>
      <c r="E857" s="155"/>
      <c r="F857" s="10"/>
      <c r="G857" s="17"/>
      <c r="H857" s="10"/>
      <c r="I857" s="17"/>
      <c r="J857" s="82"/>
      <c r="K857" s="340"/>
      <c r="L857" s="344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>
      <c r="A858" s="10"/>
      <c r="B858" s="226"/>
      <c r="C858" s="10"/>
      <c r="D858" s="14"/>
      <c r="E858" s="155"/>
      <c r="F858" s="10"/>
      <c r="G858" s="17"/>
      <c r="H858" s="10"/>
      <c r="I858" s="17"/>
      <c r="J858" s="82"/>
      <c r="K858" s="340"/>
      <c r="L858" s="344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>
      <c r="A859" s="10"/>
      <c r="B859" s="226"/>
      <c r="C859" s="10"/>
      <c r="D859" s="14"/>
      <c r="E859" s="155"/>
      <c r="F859" s="10"/>
      <c r="G859" s="17"/>
      <c r="H859" s="10"/>
      <c r="I859" s="17"/>
      <c r="J859" s="82"/>
      <c r="K859" s="340"/>
      <c r="L859" s="344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>
      <c r="A860" s="10"/>
      <c r="B860" s="226"/>
      <c r="C860" s="10"/>
      <c r="D860" s="14"/>
      <c r="E860" s="155"/>
      <c r="F860" s="10"/>
      <c r="G860" s="17"/>
      <c r="H860" s="10"/>
      <c r="I860" s="17"/>
      <c r="J860" s="82"/>
      <c r="K860" s="340"/>
      <c r="L860" s="344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>
      <c r="A861" s="10"/>
      <c r="B861" s="226"/>
      <c r="C861" s="10"/>
      <c r="D861" s="14"/>
      <c r="E861" s="155"/>
      <c r="F861" s="10"/>
      <c r="G861" s="17"/>
      <c r="H861" s="10"/>
      <c r="I861" s="17"/>
      <c r="J861" s="82"/>
      <c r="K861" s="340"/>
      <c r="L861" s="344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>
      <c r="A862" s="10"/>
      <c r="B862" s="226"/>
      <c r="C862" s="10"/>
      <c r="D862" s="14"/>
      <c r="E862" s="155"/>
      <c r="F862" s="10"/>
      <c r="G862" s="17"/>
      <c r="H862" s="10"/>
      <c r="I862" s="17"/>
      <c r="J862" s="82"/>
      <c r="K862" s="340"/>
      <c r="L862" s="344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>
      <c r="A863" s="10"/>
      <c r="B863" s="226"/>
      <c r="C863" s="10"/>
      <c r="D863" s="14"/>
      <c r="E863" s="155"/>
      <c r="F863" s="10"/>
      <c r="G863" s="17"/>
      <c r="H863" s="10"/>
      <c r="I863" s="17"/>
      <c r="J863" s="82"/>
      <c r="K863" s="340"/>
      <c r="L863" s="344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>
      <c r="A864" s="10"/>
      <c r="B864" s="226"/>
      <c r="C864" s="10"/>
      <c r="D864" s="14"/>
      <c r="E864" s="155"/>
      <c r="F864" s="10"/>
      <c r="G864" s="17"/>
      <c r="H864" s="10"/>
      <c r="I864" s="17"/>
      <c r="J864" s="82"/>
      <c r="K864" s="340"/>
      <c r="L864" s="344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>
      <c r="A865" s="10"/>
      <c r="B865" s="226"/>
      <c r="C865" s="10"/>
      <c r="D865" s="14"/>
      <c r="E865" s="155"/>
      <c r="F865" s="10"/>
      <c r="G865" s="17"/>
      <c r="H865" s="10"/>
      <c r="I865" s="17"/>
      <c r="J865" s="82"/>
      <c r="K865" s="340"/>
      <c r="L865" s="344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>
      <c r="A866" s="10"/>
      <c r="B866" s="226"/>
      <c r="C866" s="10"/>
      <c r="D866" s="14"/>
      <c r="E866" s="155"/>
      <c r="F866" s="10"/>
      <c r="G866" s="17"/>
      <c r="H866" s="10"/>
      <c r="I866" s="17"/>
      <c r="J866" s="82"/>
      <c r="K866" s="340"/>
      <c r="L866" s="344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>
      <c r="A867" s="10"/>
      <c r="B867" s="226"/>
      <c r="C867" s="10"/>
      <c r="D867" s="14"/>
      <c r="E867" s="155"/>
      <c r="F867" s="10"/>
      <c r="G867" s="17"/>
      <c r="H867" s="10"/>
      <c r="I867" s="17"/>
      <c r="J867" s="82"/>
      <c r="K867" s="340"/>
      <c r="L867" s="344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>
      <c r="A868" s="10"/>
      <c r="B868" s="226"/>
      <c r="C868" s="10"/>
      <c r="D868" s="14"/>
      <c r="E868" s="155"/>
      <c r="F868" s="10"/>
      <c r="G868" s="17"/>
      <c r="H868" s="10"/>
      <c r="I868" s="17"/>
      <c r="J868" s="82"/>
      <c r="K868" s="340"/>
      <c r="L868" s="344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>
      <c r="A869" s="10"/>
      <c r="B869" s="226"/>
      <c r="C869" s="10"/>
      <c r="D869" s="14"/>
      <c r="E869" s="155"/>
      <c r="F869" s="10"/>
      <c r="G869" s="17"/>
      <c r="H869" s="10"/>
      <c r="I869" s="17"/>
      <c r="J869" s="82"/>
      <c r="K869" s="340"/>
      <c r="L869" s="344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>
      <c r="A870" s="10"/>
      <c r="B870" s="226"/>
      <c r="C870" s="10"/>
      <c r="D870" s="14"/>
      <c r="E870" s="155"/>
      <c r="F870" s="10"/>
      <c r="G870" s="17"/>
      <c r="H870" s="10"/>
      <c r="I870" s="17"/>
      <c r="J870" s="82"/>
      <c r="K870" s="340"/>
      <c r="L870" s="344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>
      <c r="A871" s="10"/>
      <c r="B871" s="226"/>
      <c r="C871" s="10"/>
      <c r="D871" s="14"/>
      <c r="E871" s="155"/>
      <c r="F871" s="10"/>
      <c r="G871" s="17"/>
      <c r="H871" s="10"/>
      <c r="I871" s="17"/>
      <c r="J871" s="82"/>
      <c r="K871" s="340"/>
      <c r="L871" s="344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>
      <c r="A872" s="10"/>
      <c r="B872" s="226"/>
      <c r="C872" s="10"/>
      <c r="D872" s="14"/>
      <c r="E872" s="155"/>
      <c r="F872" s="10"/>
      <c r="G872" s="17"/>
      <c r="H872" s="10"/>
      <c r="I872" s="17"/>
      <c r="J872" s="82"/>
      <c r="K872" s="340"/>
      <c r="L872" s="344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>
      <c r="A873" s="10"/>
      <c r="B873" s="226"/>
      <c r="C873" s="10"/>
      <c r="D873" s="14"/>
      <c r="E873" s="155"/>
      <c r="F873" s="10"/>
      <c r="G873" s="17"/>
      <c r="H873" s="10"/>
      <c r="I873" s="17"/>
      <c r="J873" s="82"/>
      <c r="K873" s="340"/>
      <c r="L873" s="344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>
      <c r="A874" s="10"/>
      <c r="B874" s="226"/>
      <c r="C874" s="10"/>
      <c r="D874" s="14"/>
      <c r="E874" s="155"/>
      <c r="F874" s="10"/>
      <c r="G874" s="17"/>
      <c r="H874" s="10"/>
      <c r="I874" s="17"/>
      <c r="J874" s="82"/>
      <c r="K874" s="340"/>
      <c r="L874" s="344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>
      <c r="A875" s="10"/>
      <c r="B875" s="226"/>
      <c r="C875" s="10"/>
      <c r="D875" s="14"/>
      <c r="E875" s="155"/>
      <c r="F875" s="10"/>
      <c r="G875" s="17"/>
      <c r="H875" s="10"/>
      <c r="I875" s="17"/>
      <c r="J875" s="82"/>
      <c r="K875" s="340"/>
      <c r="L875" s="344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>
      <c r="A876" s="10"/>
      <c r="B876" s="226"/>
      <c r="C876" s="10"/>
      <c r="D876" s="14"/>
      <c r="E876" s="155"/>
      <c r="F876" s="10"/>
      <c r="G876" s="17"/>
      <c r="H876" s="10"/>
      <c r="I876" s="17"/>
      <c r="J876" s="82"/>
      <c r="K876" s="340"/>
      <c r="L876" s="344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>
      <c r="A877" s="10"/>
      <c r="B877" s="226"/>
      <c r="C877" s="10"/>
      <c r="D877" s="14"/>
      <c r="E877" s="155"/>
      <c r="F877" s="10"/>
      <c r="G877" s="17"/>
      <c r="H877" s="10"/>
      <c r="I877" s="17"/>
      <c r="J877" s="82"/>
      <c r="K877" s="340"/>
      <c r="L877" s="344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>
      <c r="A878" s="10"/>
      <c r="B878" s="226"/>
      <c r="C878" s="10"/>
      <c r="D878" s="14"/>
      <c r="E878" s="155"/>
      <c r="F878" s="10"/>
      <c r="G878" s="17"/>
      <c r="H878" s="10"/>
      <c r="I878" s="17"/>
      <c r="J878" s="82"/>
      <c r="K878" s="340"/>
      <c r="L878" s="344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>
      <c r="A879" s="10"/>
      <c r="B879" s="226"/>
      <c r="C879" s="10"/>
      <c r="D879" s="14"/>
      <c r="E879" s="155"/>
      <c r="F879" s="10"/>
      <c r="G879" s="17"/>
      <c r="H879" s="10"/>
      <c r="I879" s="17"/>
      <c r="J879" s="82"/>
      <c r="K879" s="340"/>
      <c r="L879" s="344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>
      <c r="A880" s="10"/>
      <c r="B880" s="226"/>
      <c r="C880" s="10"/>
      <c r="D880" s="14"/>
      <c r="E880" s="155"/>
      <c r="F880" s="10"/>
      <c r="G880" s="17"/>
      <c r="H880" s="10"/>
      <c r="I880" s="17"/>
      <c r="J880" s="82"/>
      <c r="K880" s="340"/>
      <c r="L880" s="344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>
      <c r="A881" s="10"/>
      <c r="B881" s="226"/>
      <c r="C881" s="10"/>
      <c r="D881" s="14"/>
      <c r="E881" s="155"/>
      <c r="F881" s="10"/>
      <c r="G881" s="17"/>
      <c r="H881" s="10"/>
      <c r="I881" s="17"/>
      <c r="J881" s="82"/>
      <c r="K881" s="340"/>
      <c r="L881" s="344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>
      <c r="A882" s="10"/>
      <c r="B882" s="226"/>
      <c r="C882" s="10"/>
      <c r="D882" s="14"/>
      <c r="E882" s="155"/>
      <c r="F882" s="10"/>
      <c r="G882" s="17"/>
      <c r="H882" s="10"/>
      <c r="I882" s="17"/>
      <c r="J882" s="82"/>
      <c r="K882" s="340"/>
      <c r="L882" s="344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>
      <c r="A883" s="17"/>
      <c r="B883" s="227"/>
      <c r="C883" s="17"/>
      <c r="D883" s="18"/>
      <c r="E883" s="235"/>
      <c r="F883" s="17"/>
      <c r="G883" s="17"/>
      <c r="H883" s="10"/>
      <c r="I883" s="17"/>
      <c r="J883" s="82"/>
      <c r="K883" s="340"/>
      <c r="L883" s="344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>
      <c r="A884" s="10" t="s">
        <v>251</v>
      </c>
      <c r="B884" s="226" t="s">
        <v>322</v>
      </c>
      <c r="C884" s="10" t="s">
        <v>323</v>
      </c>
      <c r="D884" s="14" t="str">
        <f>$BA$2</f>
        <v>Default</v>
      </c>
      <c r="E884" s="244"/>
      <c r="F884" s="11"/>
      <c r="G884" s="17"/>
      <c r="H884" s="10"/>
      <c r="I884" s="17"/>
      <c r="J884" s="82"/>
      <c r="K884" s="341">
        <v>0.389737</v>
      </c>
      <c r="L884" s="344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32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>
      <c r="A885" s="10" t="s">
        <v>251</v>
      </c>
      <c r="B885" s="226" t="s">
        <v>322</v>
      </c>
      <c r="C885" s="10" t="s">
        <v>323</v>
      </c>
      <c r="D885" s="14" t="str">
        <f t="shared" ref="D885:D948" si="12">$BA$2</f>
        <v>Default</v>
      </c>
      <c r="E885" s="244"/>
      <c r="F885" s="11"/>
      <c r="G885" s="17"/>
      <c r="H885" s="10"/>
      <c r="I885" s="17"/>
      <c r="J885" s="82"/>
      <c r="K885" s="340"/>
      <c r="L885" s="344"/>
      <c r="M885" s="22"/>
      <c r="N885" s="10" t="s">
        <v>103</v>
      </c>
      <c r="O885" s="22">
        <v>0.88</v>
      </c>
      <c r="P885" s="14" t="s">
        <v>218</v>
      </c>
      <c r="Q885" s="82">
        <f>$Q$3</f>
        <v>80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>
      <c r="A886" s="10" t="s">
        <v>251</v>
      </c>
      <c r="B886" s="226" t="s">
        <v>322</v>
      </c>
      <c r="C886" s="10" t="s">
        <v>323</v>
      </c>
      <c r="D886" s="14" t="str">
        <f t="shared" si="12"/>
        <v>Default</v>
      </c>
      <c r="E886" s="244"/>
      <c r="F886" s="10"/>
      <c r="G886" s="17"/>
      <c r="H886" s="10"/>
      <c r="I886" s="17"/>
      <c r="J886" s="82"/>
      <c r="K886" s="340"/>
      <c r="L886" s="344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24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>
      <c r="A887" s="10" t="s">
        <v>251</v>
      </c>
      <c r="B887" s="226" t="s">
        <v>322</v>
      </c>
      <c r="C887" s="10" t="s">
        <v>323</v>
      </c>
      <c r="D887" s="14" t="str">
        <f t="shared" si="12"/>
        <v>Default</v>
      </c>
      <c r="E887" s="244"/>
      <c r="F887" s="10"/>
      <c r="G887" s="17"/>
      <c r="H887" s="10"/>
      <c r="I887" s="17"/>
      <c r="J887" s="82"/>
      <c r="K887" s="340"/>
      <c r="L887" s="344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8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>
      <c r="A888" s="10" t="s">
        <v>251</v>
      </c>
      <c r="B888" s="226" t="s">
        <v>322</v>
      </c>
      <c r="C888" s="10" t="s">
        <v>323</v>
      </c>
      <c r="D888" s="14" t="str">
        <f t="shared" si="12"/>
        <v>Default</v>
      </c>
      <c r="E888" s="244"/>
      <c r="F888" s="10"/>
      <c r="G888" s="17"/>
      <c r="H888" s="10"/>
      <c r="I888" s="17"/>
      <c r="J888" s="82"/>
      <c r="K888" s="340"/>
      <c r="L888" s="344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192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>
      <c r="A889" s="10" t="s">
        <v>251</v>
      </c>
      <c r="B889" s="226" t="s">
        <v>322</v>
      </c>
      <c r="C889" s="17" t="s">
        <v>323</v>
      </c>
      <c r="D889" s="14" t="str">
        <f t="shared" si="12"/>
        <v>Default</v>
      </c>
      <c r="E889" s="156" t="s">
        <v>328</v>
      </c>
      <c r="F889" s="17"/>
      <c r="G889" s="17"/>
      <c r="H889" s="10"/>
      <c r="I889" s="17"/>
      <c r="J889" s="82"/>
      <c r="K889" s="340"/>
      <c r="L889" s="344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>
      <c r="A890" s="10" t="s">
        <v>251</v>
      </c>
      <c r="B890" s="226" t="s">
        <v>322</v>
      </c>
      <c r="C890" s="17" t="s">
        <v>323</v>
      </c>
      <c r="D890" s="14" t="str">
        <f t="shared" si="12"/>
        <v>Default</v>
      </c>
      <c r="E890" s="156" t="s">
        <v>328</v>
      </c>
      <c r="F890" s="17"/>
      <c r="G890" s="17"/>
      <c r="H890" s="10"/>
      <c r="I890" s="17"/>
      <c r="J890" s="82"/>
      <c r="K890" s="340"/>
      <c r="L890" s="344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>
      <c r="A891" s="10" t="s">
        <v>251</v>
      </c>
      <c r="B891" s="226" t="s">
        <v>322</v>
      </c>
      <c r="C891" s="17" t="s">
        <v>323</v>
      </c>
      <c r="D891" s="14" t="str">
        <f t="shared" si="12"/>
        <v>Default</v>
      </c>
      <c r="E891" s="156" t="s">
        <v>328</v>
      </c>
      <c r="F891" s="17"/>
      <c r="G891" s="17"/>
      <c r="H891" s="10"/>
      <c r="I891" s="17"/>
      <c r="J891" s="82"/>
      <c r="K891" s="340"/>
      <c r="L891" s="344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>
      <c r="A892" s="10" t="s">
        <v>251</v>
      </c>
      <c r="B892" s="226" t="s">
        <v>322</v>
      </c>
      <c r="C892" s="10" t="s">
        <v>323</v>
      </c>
      <c r="D892" s="14" t="str">
        <f t="shared" si="12"/>
        <v>Default</v>
      </c>
      <c r="E892" s="244"/>
      <c r="F892" s="10"/>
      <c r="G892" s="17"/>
      <c r="H892" s="10"/>
      <c r="I892" s="17"/>
      <c r="J892" s="82"/>
      <c r="K892" s="340"/>
      <c r="L892" s="344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27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>
      <c r="A893" s="10" t="s">
        <v>251</v>
      </c>
      <c r="B893" s="226" t="s">
        <v>322</v>
      </c>
      <c r="C893" s="10" t="s">
        <v>323</v>
      </c>
      <c r="D893" s="14" t="str">
        <f t="shared" si="12"/>
        <v>Default</v>
      </c>
      <c r="E893" s="244"/>
      <c r="F893" s="10"/>
      <c r="G893" s="17"/>
      <c r="H893" s="10"/>
      <c r="I893" s="17"/>
      <c r="J893" s="82"/>
      <c r="K893" s="340"/>
      <c r="L893" s="344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80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>
      <c r="A894" s="10" t="s">
        <v>251</v>
      </c>
      <c r="B894" s="226" t="s">
        <v>322</v>
      </c>
      <c r="C894" s="10" t="s">
        <v>323</v>
      </c>
      <c r="D894" s="14" t="str">
        <f t="shared" si="12"/>
        <v>Default</v>
      </c>
      <c r="E894" s="244"/>
      <c r="F894" s="10"/>
      <c r="G894" s="17"/>
      <c r="H894" s="10"/>
      <c r="I894" s="17"/>
      <c r="J894" s="82"/>
      <c r="K894" s="340"/>
      <c r="L894" s="344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>
      <c r="A895" s="10" t="s">
        <v>251</v>
      </c>
      <c r="B895" s="226" t="s">
        <v>322</v>
      </c>
      <c r="C895" s="10" t="s">
        <v>323</v>
      </c>
      <c r="D895" s="14" t="str">
        <f t="shared" si="12"/>
        <v>Default</v>
      </c>
      <c r="E895" s="244"/>
      <c r="F895" s="10"/>
      <c r="G895" s="17"/>
      <c r="H895" s="10"/>
      <c r="I895" s="17"/>
      <c r="J895" s="82"/>
      <c r="K895" s="340"/>
      <c r="L895" s="344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>
      <c r="A896" s="10" t="s">
        <v>251</v>
      </c>
      <c r="B896" s="226" t="s">
        <v>322</v>
      </c>
      <c r="C896" s="17" t="s">
        <v>323</v>
      </c>
      <c r="D896" s="14" t="str">
        <f t="shared" si="12"/>
        <v>Default</v>
      </c>
      <c r="E896" s="156" t="s">
        <v>326</v>
      </c>
      <c r="F896" s="17"/>
      <c r="G896" s="17"/>
      <c r="H896" s="10"/>
      <c r="I896" s="17"/>
      <c r="J896" s="82"/>
      <c r="K896" s="340"/>
      <c r="L896" s="344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>
      <c r="A897" s="10" t="s">
        <v>251</v>
      </c>
      <c r="B897" s="226" t="s">
        <v>322</v>
      </c>
      <c r="C897" s="17" t="s">
        <v>323</v>
      </c>
      <c r="D897" s="14" t="str">
        <f t="shared" si="12"/>
        <v>Default</v>
      </c>
      <c r="E897" s="156" t="s">
        <v>326</v>
      </c>
      <c r="F897" s="17"/>
      <c r="G897" s="17"/>
      <c r="H897" s="10"/>
      <c r="I897" s="17"/>
      <c r="J897" s="82"/>
      <c r="K897" s="340"/>
      <c r="L897" s="344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>
      <c r="A898" s="10" t="s">
        <v>251</v>
      </c>
      <c r="B898" s="226" t="s">
        <v>322</v>
      </c>
      <c r="C898" s="17" t="s">
        <v>323</v>
      </c>
      <c r="D898" s="14" t="str">
        <f t="shared" si="12"/>
        <v>Default</v>
      </c>
      <c r="E898" s="156" t="s">
        <v>326</v>
      </c>
      <c r="F898" s="17"/>
      <c r="G898" s="17"/>
      <c r="H898" s="10"/>
      <c r="I898" s="17"/>
      <c r="J898" s="82"/>
      <c r="K898" s="340"/>
      <c r="L898" s="344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>
      <c r="A899" s="10" t="s">
        <v>251</v>
      </c>
      <c r="B899" s="226" t="s">
        <v>322</v>
      </c>
      <c r="C899" s="10" t="s">
        <v>323</v>
      </c>
      <c r="D899" s="14" t="str">
        <f t="shared" si="12"/>
        <v>Default</v>
      </c>
      <c r="E899" s="244"/>
      <c r="F899" s="10"/>
      <c r="G899" s="17"/>
      <c r="H899" s="10"/>
      <c r="I899" s="17"/>
      <c r="J899" s="82"/>
      <c r="K899" s="340"/>
      <c r="L899" s="344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>
      <c r="A900" s="10" t="s">
        <v>251</v>
      </c>
      <c r="B900" s="226" t="s">
        <v>322</v>
      </c>
      <c r="C900" s="10" t="s">
        <v>323</v>
      </c>
      <c r="D900" s="14" t="str">
        <f t="shared" si="12"/>
        <v>Default</v>
      </c>
      <c r="E900" s="244"/>
      <c r="F900" s="10"/>
      <c r="G900" s="17"/>
      <c r="H900" s="10"/>
      <c r="I900" s="17"/>
      <c r="J900" s="82"/>
      <c r="K900" s="340"/>
      <c r="L900" s="344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>
      <c r="A901" s="17" t="s">
        <v>251</v>
      </c>
      <c r="B901" s="227" t="s">
        <v>322</v>
      </c>
      <c r="C901" s="17" t="s">
        <v>323</v>
      </c>
      <c r="D901" s="18" t="str">
        <f t="shared" si="12"/>
        <v>Default</v>
      </c>
      <c r="E901" s="156"/>
      <c r="F901" s="17"/>
      <c r="G901" s="17"/>
      <c r="H901" s="17"/>
      <c r="I901" s="17"/>
      <c r="J901" s="83"/>
      <c r="K901" s="340"/>
      <c r="L901" s="344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>
      <c r="A902" s="10" t="s">
        <v>251</v>
      </c>
      <c r="B902" s="226" t="s">
        <v>322</v>
      </c>
      <c r="C902" s="10" t="s">
        <v>324</v>
      </c>
      <c r="D902" s="14" t="str">
        <f t="shared" si="12"/>
        <v>Default</v>
      </c>
      <c r="E902" s="244"/>
      <c r="F902" s="11"/>
      <c r="G902" s="17"/>
      <c r="H902" s="10"/>
      <c r="I902" s="17"/>
      <c r="J902" s="82"/>
      <c r="K902" s="341">
        <v>0.54646300000000003</v>
      </c>
      <c r="L902" s="344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24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>
      <c r="A903" s="10" t="s">
        <v>251</v>
      </c>
      <c r="B903" s="226" t="s">
        <v>322</v>
      </c>
      <c r="C903" s="10" t="s">
        <v>324</v>
      </c>
      <c r="D903" s="14" t="str">
        <f t="shared" si="12"/>
        <v>Default</v>
      </c>
      <c r="E903" s="244"/>
      <c r="F903" s="11"/>
      <c r="G903" s="17"/>
      <c r="H903" s="10"/>
      <c r="I903" s="17"/>
      <c r="J903" s="82"/>
      <c r="K903" s="340"/>
      <c r="L903" s="344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24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>
      <c r="A904" s="10" t="s">
        <v>251</v>
      </c>
      <c r="B904" s="226" t="s">
        <v>322</v>
      </c>
      <c r="C904" s="10" t="s">
        <v>324</v>
      </c>
      <c r="D904" s="14" t="str">
        <f t="shared" si="12"/>
        <v>Default</v>
      </c>
      <c r="E904" s="244"/>
      <c r="F904" s="10"/>
      <c r="G904" s="17"/>
      <c r="H904" s="10"/>
      <c r="I904" s="17"/>
      <c r="J904" s="82"/>
      <c r="K904" s="340"/>
      <c r="L904" s="344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80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>
      <c r="A905" s="10" t="s">
        <v>251</v>
      </c>
      <c r="B905" s="226" t="s">
        <v>322</v>
      </c>
      <c r="C905" s="10" t="s">
        <v>324</v>
      </c>
      <c r="D905" s="14" t="str">
        <f t="shared" si="12"/>
        <v>Default</v>
      </c>
      <c r="E905" s="244"/>
      <c r="F905" s="10"/>
      <c r="G905" s="17"/>
      <c r="H905" s="10"/>
      <c r="I905" s="17"/>
      <c r="J905" s="82"/>
      <c r="K905" s="340"/>
      <c r="L905" s="344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8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>
      <c r="A906" s="10" t="s">
        <v>251</v>
      </c>
      <c r="B906" s="226" t="s">
        <v>322</v>
      </c>
      <c r="C906" s="10" t="s">
        <v>324</v>
      </c>
      <c r="D906" s="14" t="str">
        <f t="shared" si="12"/>
        <v>Default</v>
      </c>
      <c r="E906" s="244"/>
      <c r="F906" s="10"/>
      <c r="G906" s="17"/>
      <c r="H906" s="10"/>
      <c r="I906" s="17"/>
      <c r="J906" s="82"/>
      <c r="K906" s="340"/>
      <c r="L906" s="344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>
      <c r="A907" s="10" t="s">
        <v>251</v>
      </c>
      <c r="B907" s="226" t="s">
        <v>322</v>
      </c>
      <c r="C907" s="10" t="s">
        <v>324</v>
      </c>
      <c r="D907" s="14" t="str">
        <f t="shared" si="12"/>
        <v>Default</v>
      </c>
      <c r="E907" s="244"/>
      <c r="F907" s="10"/>
      <c r="G907" s="17"/>
      <c r="H907" s="10"/>
      <c r="I907" s="17"/>
      <c r="J907" s="82"/>
      <c r="K907" s="340"/>
      <c r="L907" s="344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192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>
      <c r="A908" s="10" t="s">
        <v>251</v>
      </c>
      <c r="B908" s="226" t="s">
        <v>322</v>
      </c>
      <c r="C908" s="10" t="s">
        <v>324</v>
      </c>
      <c r="D908" s="14" t="str">
        <f t="shared" si="12"/>
        <v>Default</v>
      </c>
      <c r="E908" s="244"/>
      <c r="F908" s="10"/>
      <c r="G908" s="17"/>
      <c r="H908" s="10"/>
      <c r="I908" s="17"/>
      <c r="J908" s="82"/>
      <c r="K908" s="340"/>
      <c r="L908" s="344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>
      <c r="A909" s="10" t="s">
        <v>251</v>
      </c>
      <c r="B909" s="226" t="s">
        <v>322</v>
      </c>
      <c r="C909" s="10" t="s">
        <v>324</v>
      </c>
      <c r="D909" s="14" t="str">
        <f t="shared" si="12"/>
        <v>Default</v>
      </c>
      <c r="E909" s="244"/>
      <c r="F909" s="10"/>
      <c r="G909" s="17"/>
      <c r="H909" s="10"/>
      <c r="I909" s="17"/>
      <c r="J909" s="82"/>
      <c r="K909" s="340"/>
      <c r="L909" s="344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27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>
      <c r="A910" s="10" t="s">
        <v>251</v>
      </c>
      <c r="B910" s="226" t="s">
        <v>322</v>
      </c>
      <c r="C910" s="10" t="s">
        <v>324</v>
      </c>
      <c r="D910" s="14" t="str">
        <f t="shared" si="12"/>
        <v>Default</v>
      </c>
      <c r="E910" s="244"/>
      <c r="F910" s="10"/>
      <c r="G910" s="17"/>
      <c r="H910" s="10"/>
      <c r="I910" s="17"/>
      <c r="J910" s="82"/>
      <c r="K910" s="340"/>
      <c r="L910" s="344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>
      <c r="A911" s="10" t="s">
        <v>251</v>
      </c>
      <c r="B911" s="226" t="s">
        <v>322</v>
      </c>
      <c r="C911" s="10" t="s">
        <v>324</v>
      </c>
      <c r="D911" s="14" t="str">
        <f t="shared" si="12"/>
        <v>Default</v>
      </c>
      <c r="E911" s="244"/>
      <c r="F911" s="10"/>
      <c r="G911" s="17"/>
      <c r="H911" s="10"/>
      <c r="I911" s="17"/>
      <c r="J911" s="82"/>
      <c r="K911" s="340"/>
      <c r="L911" s="344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16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>
      <c r="A912" s="10" t="s">
        <v>251</v>
      </c>
      <c r="B912" s="226" t="s">
        <v>322</v>
      </c>
      <c r="C912" s="10" t="s">
        <v>324</v>
      </c>
      <c r="D912" s="14" t="str">
        <f t="shared" si="12"/>
        <v>Default</v>
      </c>
      <c r="E912" s="244"/>
      <c r="F912" s="10"/>
      <c r="G912" s="17"/>
      <c r="H912" s="10"/>
      <c r="I912" s="17"/>
      <c r="J912" s="82"/>
      <c r="K912" s="340"/>
      <c r="L912" s="344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>
      <c r="A913" s="10" t="s">
        <v>251</v>
      </c>
      <c r="B913" s="226" t="s">
        <v>322</v>
      </c>
      <c r="C913" s="10" t="s">
        <v>324</v>
      </c>
      <c r="D913" s="14" t="str">
        <f t="shared" si="12"/>
        <v>Default</v>
      </c>
      <c r="E913" s="244"/>
      <c r="F913" s="10"/>
      <c r="G913" s="17"/>
      <c r="H913" s="10"/>
      <c r="I913" s="17"/>
      <c r="J913" s="82"/>
      <c r="K913" s="340"/>
      <c r="L913" s="344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>
      <c r="A914" s="10" t="s">
        <v>251</v>
      </c>
      <c r="B914" s="226" t="s">
        <v>322</v>
      </c>
      <c r="C914" s="10" t="s">
        <v>324</v>
      </c>
      <c r="D914" s="14" t="str">
        <f t="shared" si="12"/>
        <v>Default</v>
      </c>
      <c r="E914" s="244"/>
      <c r="F914" s="10"/>
      <c r="G914" s="17"/>
      <c r="H914" s="10"/>
      <c r="I914" s="17"/>
      <c r="J914" s="82"/>
      <c r="K914" s="340"/>
      <c r="L914" s="344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64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>
      <c r="A915" s="10" t="s">
        <v>251</v>
      </c>
      <c r="B915" s="226" t="s">
        <v>322</v>
      </c>
      <c r="C915" s="10" t="s">
        <v>324</v>
      </c>
      <c r="D915" s="14" t="str">
        <f t="shared" si="12"/>
        <v>Default</v>
      </c>
      <c r="E915" s="244"/>
      <c r="F915" s="10"/>
      <c r="G915" s="17"/>
      <c r="H915" s="10"/>
      <c r="I915" s="17"/>
      <c r="J915" s="82"/>
      <c r="K915" s="340"/>
      <c r="L915" s="344"/>
      <c r="M915" s="22"/>
      <c r="N915" s="76" t="s">
        <v>228</v>
      </c>
      <c r="O915" s="22">
        <f>Enginuity!$B$9 * 0.5</f>
        <v>32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>
      <c r="A916" s="10" t="s">
        <v>251</v>
      </c>
      <c r="B916" s="226" t="s">
        <v>322</v>
      </c>
      <c r="C916" s="10" t="s">
        <v>324</v>
      </c>
      <c r="D916" s="14" t="str">
        <f t="shared" si="12"/>
        <v>Default</v>
      </c>
      <c r="E916" s="244"/>
      <c r="F916" s="10"/>
      <c r="G916" s="17"/>
      <c r="H916" s="10"/>
      <c r="I916" s="17"/>
      <c r="J916" s="82"/>
      <c r="K916" s="340"/>
      <c r="L916" s="344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>
      <c r="A917" s="10" t="s">
        <v>251</v>
      </c>
      <c r="B917" s="226" t="s">
        <v>322</v>
      </c>
      <c r="C917" s="10" t="s">
        <v>324</v>
      </c>
      <c r="D917" s="14" t="str">
        <f t="shared" si="12"/>
        <v>Default</v>
      </c>
      <c r="E917" s="244"/>
      <c r="F917" s="10"/>
      <c r="G917" s="17"/>
      <c r="H917" s="10"/>
      <c r="I917" s="17"/>
      <c r="J917" s="82"/>
      <c r="K917" s="340"/>
      <c r="L917" s="344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>
      <c r="A918" s="10" t="s">
        <v>251</v>
      </c>
      <c r="B918" s="226" t="s">
        <v>322</v>
      </c>
      <c r="C918" s="10" t="s">
        <v>324</v>
      </c>
      <c r="D918" s="14" t="str">
        <f t="shared" si="12"/>
        <v>Default</v>
      </c>
      <c r="E918" s="244"/>
      <c r="F918" s="10"/>
      <c r="G918" s="17"/>
      <c r="H918" s="10"/>
      <c r="I918" s="17"/>
      <c r="J918" s="82"/>
      <c r="K918" s="340"/>
      <c r="L918" s="344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>
      <c r="A919" s="10" t="s">
        <v>251</v>
      </c>
      <c r="B919" s="226" t="s">
        <v>322</v>
      </c>
      <c r="C919" s="10" t="s">
        <v>324</v>
      </c>
      <c r="D919" s="14" t="str">
        <f t="shared" si="12"/>
        <v>Default</v>
      </c>
      <c r="E919" s="244"/>
      <c r="F919" s="10"/>
      <c r="G919" s="17"/>
      <c r="H919" s="10"/>
      <c r="I919" s="17"/>
      <c r="J919" s="82"/>
      <c r="K919" s="340"/>
      <c r="L919" s="344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>
      <c r="A920" s="10" t="s">
        <v>251</v>
      </c>
      <c r="B920" s="226" t="s">
        <v>322</v>
      </c>
      <c r="C920" s="10" t="s">
        <v>324</v>
      </c>
      <c r="D920" s="14" t="str">
        <f t="shared" si="12"/>
        <v>Default</v>
      </c>
      <c r="E920" s="244"/>
      <c r="F920" s="10"/>
      <c r="G920" s="17"/>
      <c r="H920" s="10"/>
      <c r="I920" s="17"/>
      <c r="J920" s="82"/>
      <c r="K920" s="340"/>
      <c r="L920" s="344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>
      <c r="A921" s="10" t="s">
        <v>251</v>
      </c>
      <c r="B921" s="226" t="s">
        <v>322</v>
      </c>
      <c r="C921" s="10" t="s">
        <v>324</v>
      </c>
      <c r="D921" s="14" t="str">
        <f t="shared" si="12"/>
        <v>Default</v>
      </c>
      <c r="E921" s="244"/>
      <c r="F921" s="10"/>
      <c r="G921" s="17"/>
      <c r="H921" s="10"/>
      <c r="I921" s="17"/>
      <c r="J921" s="82"/>
      <c r="K921" s="340"/>
      <c r="L921" s="344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>
      <c r="A922" s="10" t="s">
        <v>251</v>
      </c>
      <c r="B922" s="226" t="s">
        <v>322</v>
      </c>
      <c r="C922" s="10" t="s">
        <v>324</v>
      </c>
      <c r="D922" s="14" t="str">
        <f t="shared" si="12"/>
        <v>Default</v>
      </c>
      <c r="E922" s="244"/>
      <c r="F922" s="10"/>
      <c r="G922" s="17"/>
      <c r="H922" s="10"/>
      <c r="I922" s="17"/>
      <c r="J922" s="82"/>
      <c r="K922" s="340"/>
      <c r="L922" s="344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>
      <c r="A923" s="10" t="s">
        <v>251</v>
      </c>
      <c r="B923" s="226" t="s">
        <v>322</v>
      </c>
      <c r="C923" s="10" t="s">
        <v>324</v>
      </c>
      <c r="D923" s="14" t="str">
        <f t="shared" si="12"/>
        <v>Default</v>
      </c>
      <c r="E923" s="244"/>
      <c r="F923" s="10"/>
      <c r="G923" s="17"/>
      <c r="H923" s="10"/>
      <c r="I923" s="17"/>
      <c r="J923" s="82"/>
      <c r="K923" s="340"/>
      <c r="L923" s="344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>
      <c r="A924" s="10" t="s">
        <v>251</v>
      </c>
      <c r="B924" s="226" t="s">
        <v>322</v>
      </c>
      <c r="C924" s="10" t="s">
        <v>324</v>
      </c>
      <c r="D924" s="14" t="str">
        <f t="shared" si="12"/>
        <v>Default</v>
      </c>
      <c r="E924" s="244"/>
      <c r="F924" s="10"/>
      <c r="G924" s="17"/>
      <c r="H924" s="10"/>
      <c r="I924" s="17"/>
      <c r="J924" s="82"/>
      <c r="K924" s="340"/>
      <c r="L924" s="344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>
      <c r="A925" s="10" t="s">
        <v>251</v>
      </c>
      <c r="B925" s="226" t="s">
        <v>322</v>
      </c>
      <c r="C925" s="10" t="s">
        <v>324</v>
      </c>
      <c r="D925" s="14" t="str">
        <f t="shared" si="12"/>
        <v>Default</v>
      </c>
      <c r="E925" s="244"/>
      <c r="F925" s="10"/>
      <c r="G925" s="17"/>
      <c r="H925" s="10"/>
      <c r="I925" s="17"/>
      <c r="J925" s="82"/>
      <c r="K925" s="340"/>
      <c r="L925" s="344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>
      <c r="A926" s="10" t="s">
        <v>251</v>
      </c>
      <c r="B926" s="226" t="s">
        <v>322</v>
      </c>
      <c r="C926" s="10" t="s">
        <v>324</v>
      </c>
      <c r="D926" s="14" t="str">
        <f t="shared" si="12"/>
        <v>Default</v>
      </c>
      <c r="E926" s="244"/>
      <c r="F926" s="10"/>
      <c r="G926" s="17"/>
      <c r="H926" s="10"/>
      <c r="I926" s="17"/>
      <c r="J926" s="82"/>
      <c r="K926" s="340"/>
      <c r="L926" s="344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>
      <c r="A927" s="10" t="s">
        <v>251</v>
      </c>
      <c r="B927" s="226" t="s">
        <v>322</v>
      </c>
      <c r="C927" s="10" t="s">
        <v>324</v>
      </c>
      <c r="D927" s="14" t="str">
        <f t="shared" si="12"/>
        <v>Default</v>
      </c>
      <c r="E927" s="244"/>
      <c r="F927" s="10"/>
      <c r="G927" s="17"/>
      <c r="H927" s="10"/>
      <c r="I927" s="17"/>
      <c r="J927" s="82"/>
      <c r="K927" s="340"/>
      <c r="L927" s="344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>
      <c r="A928" s="10" t="s">
        <v>251</v>
      </c>
      <c r="B928" s="226" t="s">
        <v>322</v>
      </c>
      <c r="C928" s="10" t="s">
        <v>324</v>
      </c>
      <c r="D928" s="14" t="str">
        <f t="shared" si="12"/>
        <v>Default</v>
      </c>
      <c r="E928" s="244"/>
      <c r="F928" s="10"/>
      <c r="G928" s="17"/>
      <c r="H928" s="10"/>
      <c r="I928" s="17"/>
      <c r="J928" s="82"/>
      <c r="K928" s="340"/>
      <c r="L928" s="344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>
      <c r="A929" s="10" t="s">
        <v>251</v>
      </c>
      <c r="B929" s="226" t="s">
        <v>322</v>
      </c>
      <c r="C929" s="10" t="s">
        <v>324</v>
      </c>
      <c r="D929" s="14" t="str">
        <f t="shared" si="12"/>
        <v>Default</v>
      </c>
      <c r="E929" s="244"/>
      <c r="F929" s="10"/>
      <c r="G929" s="17"/>
      <c r="H929" s="10"/>
      <c r="I929" s="17"/>
      <c r="J929" s="82"/>
      <c r="K929" s="340"/>
      <c r="L929" s="344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>
      <c r="A930" s="10" t="s">
        <v>251</v>
      </c>
      <c r="B930" s="226" t="s">
        <v>322</v>
      </c>
      <c r="C930" s="10" t="s">
        <v>324</v>
      </c>
      <c r="D930" s="14" t="str">
        <f t="shared" si="12"/>
        <v>Default</v>
      </c>
      <c r="E930" s="244"/>
      <c r="F930" s="10"/>
      <c r="G930" s="17"/>
      <c r="H930" s="10"/>
      <c r="I930" s="17"/>
      <c r="J930" s="82"/>
      <c r="K930" s="340"/>
      <c r="L930" s="344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>
      <c r="A931" s="10" t="s">
        <v>251</v>
      </c>
      <c r="B931" s="226" t="s">
        <v>322</v>
      </c>
      <c r="C931" s="10" t="s">
        <v>324</v>
      </c>
      <c r="D931" s="14" t="str">
        <f t="shared" si="12"/>
        <v>Default</v>
      </c>
      <c r="E931" s="244"/>
      <c r="F931" s="10"/>
      <c r="G931" s="17"/>
      <c r="H931" s="10"/>
      <c r="I931" s="17"/>
      <c r="J931" s="82"/>
      <c r="K931" s="340"/>
      <c r="L931" s="344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>
      <c r="A932" s="17" t="s">
        <v>251</v>
      </c>
      <c r="B932" s="226" t="s">
        <v>322</v>
      </c>
      <c r="C932" s="17" t="s">
        <v>324</v>
      </c>
      <c r="D932" s="14" t="str">
        <f t="shared" si="12"/>
        <v>Default</v>
      </c>
      <c r="E932" s="156"/>
      <c r="F932" s="17"/>
      <c r="G932" s="17"/>
      <c r="H932" s="10"/>
      <c r="I932" s="17"/>
      <c r="J932" s="82"/>
      <c r="K932" s="340"/>
      <c r="L932" s="344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>
      <c r="A933" s="10" t="s">
        <v>251</v>
      </c>
      <c r="B933" s="226" t="s">
        <v>322</v>
      </c>
      <c r="C933" s="10" t="s">
        <v>325</v>
      </c>
      <c r="D933" s="14" t="str">
        <f t="shared" si="12"/>
        <v>Default</v>
      </c>
      <c r="E933" s="244"/>
      <c r="F933" s="11"/>
      <c r="G933" s="17"/>
      <c r="H933" s="10"/>
      <c r="I933" s="17"/>
      <c r="J933" s="82"/>
      <c r="K933" s="341">
        <v>0.39336500000000002</v>
      </c>
      <c r="L933" s="344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16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>
      <c r="A934" s="10" t="s">
        <v>251</v>
      </c>
      <c r="B934" s="226" t="s">
        <v>322</v>
      </c>
      <c r="C934" s="10" t="s">
        <v>325</v>
      </c>
      <c r="D934" s="14" t="str">
        <f t="shared" si="12"/>
        <v>Default</v>
      </c>
      <c r="E934" s="244"/>
      <c r="F934" s="11"/>
      <c r="G934" s="17"/>
      <c r="H934" s="10"/>
      <c r="I934" s="17"/>
      <c r="J934" s="82"/>
      <c r="K934" s="340"/>
      <c r="L934" s="344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8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>
      <c r="A935" s="10" t="s">
        <v>251</v>
      </c>
      <c r="B935" s="226" t="s">
        <v>322</v>
      </c>
      <c r="C935" s="10" t="s">
        <v>325</v>
      </c>
      <c r="D935" s="14" t="str">
        <f t="shared" si="12"/>
        <v>Default</v>
      </c>
      <c r="E935" s="244"/>
      <c r="F935" s="10"/>
      <c r="G935" s="17"/>
      <c r="H935" s="10"/>
      <c r="I935" s="17"/>
      <c r="J935" s="82"/>
      <c r="K935" s="340"/>
      <c r="L935" s="344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8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>
      <c r="A936" s="10" t="s">
        <v>251</v>
      </c>
      <c r="B936" s="226" t="s">
        <v>322</v>
      </c>
      <c r="C936" s="10" t="s">
        <v>325</v>
      </c>
      <c r="D936" s="14" t="str">
        <f t="shared" si="12"/>
        <v>Default</v>
      </c>
      <c r="E936" s="244"/>
      <c r="F936" s="10"/>
      <c r="G936" s="17"/>
      <c r="H936" s="10"/>
      <c r="I936" s="17"/>
      <c r="J936" s="82"/>
      <c r="K936" s="340"/>
      <c r="L936" s="344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16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>
      <c r="A937" s="10" t="s">
        <v>251</v>
      </c>
      <c r="B937" s="226" t="s">
        <v>322</v>
      </c>
      <c r="C937" s="10" t="s">
        <v>325</v>
      </c>
      <c r="D937" s="14" t="str">
        <f t="shared" si="12"/>
        <v>Default</v>
      </c>
      <c r="E937" s="244"/>
      <c r="F937" s="10"/>
      <c r="G937" s="17"/>
      <c r="H937" s="10"/>
      <c r="I937" s="17"/>
      <c r="J937" s="82"/>
      <c r="K937" s="340"/>
      <c r="L937" s="344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24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>
      <c r="A938" s="10" t="s">
        <v>251</v>
      </c>
      <c r="B938" s="226" t="s">
        <v>322</v>
      </c>
      <c r="C938" s="10" t="s">
        <v>325</v>
      </c>
      <c r="D938" s="14" t="str">
        <f t="shared" si="12"/>
        <v>Default</v>
      </c>
      <c r="E938" s="244"/>
      <c r="F938" s="10"/>
      <c r="G938" s="17"/>
      <c r="H938" s="10"/>
      <c r="I938" s="17"/>
      <c r="J938" s="82"/>
      <c r="K938" s="340"/>
      <c r="L938" s="344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80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>
      <c r="A939" s="10" t="s">
        <v>251</v>
      </c>
      <c r="B939" s="226" t="s">
        <v>322</v>
      </c>
      <c r="C939" s="10" t="s">
        <v>325</v>
      </c>
      <c r="D939" s="14" t="str">
        <f t="shared" si="12"/>
        <v>Default</v>
      </c>
      <c r="E939" s="244"/>
      <c r="F939" s="10"/>
      <c r="G939" s="17"/>
      <c r="H939" s="10"/>
      <c r="I939" s="17"/>
      <c r="J939" s="82"/>
      <c r="K939" s="340"/>
      <c r="L939" s="344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192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>
      <c r="A940" s="10" t="s">
        <v>251</v>
      </c>
      <c r="B940" s="226" t="s">
        <v>322</v>
      </c>
      <c r="C940" s="10" t="s">
        <v>325</v>
      </c>
      <c r="D940" s="14" t="str">
        <f t="shared" si="12"/>
        <v>Default</v>
      </c>
      <c r="E940" s="244"/>
      <c r="F940" s="10"/>
      <c r="G940" s="17"/>
      <c r="H940" s="10"/>
      <c r="I940" s="17"/>
      <c r="J940" s="82"/>
      <c r="K940" s="340"/>
      <c r="L940" s="344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192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>
      <c r="A941" s="10" t="s">
        <v>251</v>
      </c>
      <c r="B941" s="226" t="s">
        <v>322</v>
      </c>
      <c r="C941" s="10" t="s">
        <v>325</v>
      </c>
      <c r="D941" s="14" t="str">
        <f t="shared" si="12"/>
        <v>Default</v>
      </c>
      <c r="E941" s="244"/>
      <c r="F941" s="10"/>
      <c r="G941" s="17"/>
      <c r="H941" s="10"/>
      <c r="I941" s="17"/>
      <c r="J941" s="82"/>
      <c r="K941" s="340"/>
      <c r="L941" s="344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>
      <c r="A942" s="10" t="s">
        <v>251</v>
      </c>
      <c r="B942" s="226" t="s">
        <v>322</v>
      </c>
      <c r="C942" s="10" t="s">
        <v>325</v>
      </c>
      <c r="D942" s="14" t="str">
        <f t="shared" si="12"/>
        <v>Default</v>
      </c>
      <c r="E942" s="244"/>
      <c r="F942" s="10"/>
      <c r="G942" s="17"/>
      <c r="H942" s="10"/>
      <c r="I942" s="17"/>
      <c r="J942" s="82"/>
      <c r="K942" s="340"/>
      <c r="L942" s="344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27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>
      <c r="A943" s="10" t="s">
        <v>251</v>
      </c>
      <c r="B943" s="226" t="s">
        <v>322</v>
      </c>
      <c r="C943" s="10" t="s">
        <v>325</v>
      </c>
      <c r="D943" s="14" t="str">
        <f t="shared" si="12"/>
        <v>Default</v>
      </c>
      <c r="E943" s="244"/>
      <c r="F943" s="10"/>
      <c r="G943" s="17"/>
      <c r="H943" s="10"/>
      <c r="I943" s="17"/>
      <c r="J943" s="82"/>
      <c r="K943" s="340"/>
      <c r="L943" s="344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>
      <c r="A944" s="10" t="s">
        <v>251</v>
      </c>
      <c r="B944" s="226" t="s">
        <v>322</v>
      </c>
      <c r="C944" s="10" t="s">
        <v>325</v>
      </c>
      <c r="D944" s="14" t="str">
        <f t="shared" si="12"/>
        <v>Default</v>
      </c>
      <c r="E944" s="244"/>
      <c r="F944" s="10"/>
      <c r="G944" s="17"/>
      <c r="H944" s="10"/>
      <c r="I944" s="17"/>
      <c r="J944" s="82"/>
      <c r="K944" s="340"/>
      <c r="L944" s="344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8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>
      <c r="A945" s="10" t="s">
        <v>251</v>
      </c>
      <c r="B945" s="226" t="s">
        <v>322</v>
      </c>
      <c r="C945" s="10" t="s">
        <v>325</v>
      </c>
      <c r="D945" s="14" t="str">
        <f t="shared" si="12"/>
        <v>Default</v>
      </c>
      <c r="E945" s="244"/>
      <c r="F945" s="10"/>
      <c r="G945" s="17"/>
      <c r="H945" s="10"/>
      <c r="I945" s="17"/>
      <c r="J945" s="82"/>
      <c r="K945" s="340"/>
      <c r="L945" s="344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>
      <c r="A946" s="10" t="s">
        <v>251</v>
      </c>
      <c r="B946" s="226" t="s">
        <v>322</v>
      </c>
      <c r="C946" s="10" t="s">
        <v>325</v>
      </c>
      <c r="D946" s="14" t="str">
        <f t="shared" si="12"/>
        <v>Default</v>
      </c>
      <c r="E946" s="244"/>
      <c r="F946" s="10"/>
      <c r="G946" s="17"/>
      <c r="H946" s="10"/>
      <c r="I946" s="17"/>
      <c r="J946" s="82"/>
      <c r="K946" s="340"/>
      <c r="L946" s="344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64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>
      <c r="A947" s="10" t="s">
        <v>251</v>
      </c>
      <c r="B947" s="226" t="s">
        <v>322</v>
      </c>
      <c r="C947" s="10" t="s">
        <v>325</v>
      </c>
      <c r="D947" s="14" t="str">
        <f t="shared" si="12"/>
        <v>Default</v>
      </c>
      <c r="E947" s="244"/>
      <c r="F947" s="10"/>
      <c r="G947" s="17"/>
      <c r="H947" s="10"/>
      <c r="I947" s="17"/>
      <c r="J947" s="82"/>
      <c r="K947" s="340"/>
      <c r="L947" s="344"/>
      <c r="M947" s="10"/>
      <c r="N947" s="76" t="s">
        <v>228</v>
      </c>
      <c r="O947" s="22">
        <f>Enginuity!$B$9 * 0.5</f>
        <v>32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>
      <c r="A948" s="10" t="s">
        <v>251</v>
      </c>
      <c r="B948" s="226" t="s">
        <v>322</v>
      </c>
      <c r="C948" s="10" t="s">
        <v>325</v>
      </c>
      <c r="D948" s="14" t="str">
        <f t="shared" si="12"/>
        <v>Default</v>
      </c>
      <c r="E948" s="244"/>
      <c r="F948" s="10"/>
      <c r="G948" s="17"/>
      <c r="H948" s="10"/>
      <c r="I948" s="17"/>
      <c r="J948" s="82"/>
      <c r="K948" s="340"/>
      <c r="L948" s="344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>
      <c r="A949" s="10" t="s">
        <v>251</v>
      </c>
      <c r="B949" s="226" t="s">
        <v>322</v>
      </c>
      <c r="C949" s="10" t="s">
        <v>325</v>
      </c>
      <c r="D949" s="14" t="str">
        <f t="shared" ref="D949" si="13">$BA$2</f>
        <v>Default</v>
      </c>
      <c r="E949" s="244"/>
      <c r="F949" s="10"/>
      <c r="G949" s="17"/>
      <c r="H949" s="10"/>
      <c r="I949" s="17"/>
      <c r="J949" s="82"/>
      <c r="K949" s="340"/>
      <c r="L949" s="344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64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>
      <c r="A950" s="10"/>
      <c r="B950" s="226"/>
      <c r="C950" s="10"/>
      <c r="D950" s="14"/>
      <c r="E950" s="244"/>
      <c r="F950" s="11"/>
      <c r="G950" s="17"/>
      <c r="H950" s="10"/>
      <c r="I950" s="17"/>
      <c r="J950" s="82"/>
      <c r="K950" s="340"/>
      <c r="L950" s="344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>
      <c r="A951" s="10"/>
      <c r="B951" s="226"/>
      <c r="C951" s="10"/>
      <c r="D951" s="14"/>
      <c r="E951" s="244"/>
      <c r="F951" s="11"/>
      <c r="G951" s="17"/>
      <c r="H951" s="10"/>
      <c r="I951" s="17"/>
      <c r="J951" s="82"/>
      <c r="K951" s="340"/>
      <c r="L951" s="344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>
      <c r="A952" s="10"/>
      <c r="B952" s="226"/>
      <c r="C952" s="10"/>
      <c r="D952" s="14"/>
      <c r="E952" s="244"/>
      <c r="F952" s="10"/>
      <c r="G952" s="17"/>
      <c r="H952" s="10"/>
      <c r="I952" s="17"/>
      <c r="J952" s="82"/>
      <c r="K952" s="340"/>
      <c r="L952" s="344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>
      <c r="A953" s="10"/>
      <c r="B953" s="226"/>
      <c r="C953" s="10"/>
      <c r="D953" s="14"/>
      <c r="E953" s="244"/>
      <c r="F953" s="10"/>
      <c r="G953" s="17"/>
      <c r="H953" s="10"/>
      <c r="I953" s="17"/>
      <c r="J953" s="82"/>
      <c r="K953" s="340"/>
      <c r="L953" s="344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>
      <c r="A954" s="10"/>
      <c r="B954" s="226"/>
      <c r="C954" s="10"/>
      <c r="D954" s="14"/>
      <c r="E954" s="244"/>
      <c r="F954" s="10"/>
      <c r="G954" s="17"/>
      <c r="H954" s="10"/>
      <c r="I954" s="17"/>
      <c r="J954" s="82"/>
      <c r="K954" s="340"/>
      <c r="L954" s="344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>
      <c r="A955" s="10"/>
      <c r="B955" s="226"/>
      <c r="C955" s="10"/>
      <c r="D955" s="14"/>
      <c r="E955" s="244"/>
      <c r="F955" s="10"/>
      <c r="G955" s="17"/>
      <c r="H955" s="10"/>
      <c r="I955" s="17"/>
      <c r="J955" s="82"/>
      <c r="K955" s="340"/>
      <c r="L955" s="344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>
      <c r="A956" s="10"/>
      <c r="B956" s="226"/>
      <c r="C956" s="10"/>
      <c r="D956" s="14"/>
      <c r="E956" s="244"/>
      <c r="F956" s="10"/>
      <c r="G956" s="17"/>
      <c r="H956" s="10"/>
      <c r="I956" s="17"/>
      <c r="J956" s="82"/>
      <c r="K956" s="340"/>
      <c r="L956" s="344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>
      <c r="A957" s="10"/>
      <c r="B957" s="226"/>
      <c r="C957" s="10"/>
      <c r="D957" s="14"/>
      <c r="E957" s="244"/>
      <c r="F957" s="10"/>
      <c r="G957" s="17"/>
      <c r="H957" s="10"/>
      <c r="I957" s="17"/>
      <c r="J957" s="82"/>
      <c r="K957" s="340"/>
      <c r="L957" s="344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>
      <c r="A958" s="10"/>
      <c r="B958" s="226"/>
      <c r="C958" s="10"/>
      <c r="D958" s="14"/>
      <c r="E958" s="244"/>
      <c r="F958" s="10"/>
      <c r="G958" s="17"/>
      <c r="H958" s="10"/>
      <c r="I958" s="17"/>
      <c r="J958" s="82"/>
      <c r="K958" s="340"/>
      <c r="L958" s="344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>
      <c r="A959" s="10"/>
      <c r="B959" s="226"/>
      <c r="C959" s="10"/>
      <c r="D959" s="14"/>
      <c r="E959" s="244"/>
      <c r="F959" s="10"/>
      <c r="G959" s="17"/>
      <c r="H959" s="10"/>
      <c r="I959" s="17"/>
      <c r="J959" s="82"/>
      <c r="K959" s="340"/>
      <c r="L959" s="344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>
      <c r="A960" s="10"/>
      <c r="B960" s="226"/>
      <c r="C960" s="10"/>
      <c r="D960" s="14"/>
      <c r="E960" s="244"/>
      <c r="F960" s="10"/>
      <c r="G960" s="17"/>
      <c r="H960" s="10"/>
      <c r="I960" s="17"/>
      <c r="J960" s="82"/>
      <c r="K960" s="340"/>
      <c r="L960" s="344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>
      <c r="A961" s="10"/>
      <c r="B961" s="226"/>
      <c r="C961" s="10"/>
      <c r="D961" s="14"/>
      <c r="E961" s="244"/>
      <c r="F961" s="10"/>
      <c r="G961" s="17"/>
      <c r="H961" s="10"/>
      <c r="I961" s="17"/>
      <c r="J961" s="82"/>
      <c r="K961" s="340"/>
      <c r="L961" s="344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>
      <c r="A962" s="10"/>
      <c r="B962" s="226"/>
      <c r="C962" s="10"/>
      <c r="D962" s="14"/>
      <c r="E962" s="244"/>
      <c r="F962" s="10"/>
      <c r="G962" s="17"/>
      <c r="H962" s="10"/>
      <c r="I962" s="17"/>
      <c r="J962" s="82"/>
      <c r="K962" s="340"/>
      <c r="L962" s="344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>
      <c r="A963" s="10"/>
      <c r="B963" s="226"/>
      <c r="C963" s="10"/>
      <c r="D963" s="14"/>
      <c r="E963" s="244"/>
      <c r="F963" s="10"/>
      <c r="G963" s="17"/>
      <c r="H963" s="10"/>
      <c r="I963" s="17"/>
      <c r="J963" s="82"/>
      <c r="K963" s="340"/>
      <c r="L963" s="344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>
      <c r="A964" s="10"/>
      <c r="B964" s="226"/>
      <c r="C964" s="10"/>
      <c r="D964" s="14"/>
      <c r="E964" s="244"/>
      <c r="F964" s="10"/>
      <c r="G964" s="17"/>
      <c r="H964" s="10"/>
      <c r="I964" s="17"/>
      <c r="J964" s="82"/>
      <c r="K964" s="340"/>
      <c r="L964" s="344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>
      <c r="A965" s="10"/>
      <c r="B965" s="226"/>
      <c r="C965" s="10"/>
      <c r="D965" s="14"/>
      <c r="E965" s="244"/>
      <c r="F965" s="10"/>
      <c r="G965" s="17"/>
      <c r="H965" s="10"/>
      <c r="I965" s="17"/>
      <c r="J965" s="82"/>
      <c r="K965" s="340"/>
      <c r="L965" s="344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>
      <c r="A966" s="10"/>
      <c r="B966" s="226"/>
      <c r="C966" s="10"/>
      <c r="D966" s="14"/>
      <c r="E966" s="244"/>
      <c r="F966" s="10"/>
      <c r="G966" s="17"/>
      <c r="H966" s="10"/>
      <c r="I966" s="17"/>
      <c r="J966" s="82"/>
      <c r="K966" s="340"/>
      <c r="L966" s="344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>
      <c r="A967" s="10"/>
      <c r="B967" s="226"/>
      <c r="C967" s="10"/>
      <c r="D967" s="14"/>
      <c r="E967" s="244"/>
      <c r="F967" s="10"/>
      <c r="G967" s="17"/>
      <c r="H967" s="10"/>
      <c r="I967" s="17"/>
      <c r="J967" s="82"/>
      <c r="K967" s="340"/>
      <c r="L967" s="344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>
      <c r="A968" s="10"/>
      <c r="B968" s="226"/>
      <c r="C968" s="10"/>
      <c r="D968" s="14"/>
      <c r="E968" s="244"/>
      <c r="F968" s="10"/>
      <c r="G968" s="17"/>
      <c r="H968" s="10"/>
      <c r="I968" s="17"/>
      <c r="J968" s="82"/>
      <c r="K968" s="340"/>
      <c r="L968" s="344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>
      <c r="A969" s="10"/>
      <c r="B969" s="226"/>
      <c r="C969" s="10"/>
      <c r="D969" s="14"/>
      <c r="E969" s="244"/>
      <c r="F969" s="10"/>
      <c r="G969" s="17"/>
      <c r="H969" s="10"/>
      <c r="I969" s="17"/>
      <c r="J969" s="82"/>
      <c r="K969" s="340"/>
      <c r="L969" s="344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>
      <c r="A970" s="10"/>
      <c r="B970" s="226"/>
      <c r="C970" s="10"/>
      <c r="D970" s="14"/>
      <c r="E970" s="244"/>
      <c r="F970" s="10"/>
      <c r="G970" s="17"/>
      <c r="H970" s="10"/>
      <c r="I970" s="17"/>
      <c r="J970" s="82"/>
      <c r="K970" s="340"/>
      <c r="L970" s="344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>
      <c r="A971" s="10"/>
      <c r="B971" s="226"/>
      <c r="C971" s="10"/>
      <c r="D971" s="14"/>
      <c r="E971" s="244"/>
      <c r="F971" s="10"/>
      <c r="G971" s="17"/>
      <c r="H971" s="10"/>
      <c r="I971" s="17"/>
      <c r="J971" s="82"/>
      <c r="K971" s="340"/>
      <c r="L971" s="344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>
      <c r="A972" s="10"/>
      <c r="B972" s="226"/>
      <c r="C972" s="10"/>
      <c r="D972" s="14"/>
      <c r="E972" s="244"/>
      <c r="F972" s="10"/>
      <c r="G972" s="17"/>
      <c r="H972" s="10"/>
      <c r="I972" s="17"/>
      <c r="J972" s="82"/>
      <c r="K972" s="340"/>
      <c r="L972" s="344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>
      <c r="A973" s="10"/>
      <c r="B973" s="226"/>
      <c r="C973" s="10"/>
      <c r="D973" s="14"/>
      <c r="E973" s="244"/>
      <c r="F973" s="10"/>
      <c r="G973" s="17"/>
      <c r="H973" s="10"/>
      <c r="I973" s="17"/>
      <c r="J973" s="82"/>
      <c r="K973" s="340"/>
      <c r="L973" s="344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>
      <c r="A974" s="10"/>
      <c r="B974" s="226"/>
      <c r="C974" s="10"/>
      <c r="D974" s="14"/>
      <c r="E974" s="244"/>
      <c r="F974" s="10"/>
      <c r="G974" s="17"/>
      <c r="H974" s="10"/>
      <c r="I974" s="17"/>
      <c r="J974" s="82"/>
      <c r="K974" s="340"/>
      <c r="L974" s="344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>
      <c r="A975" s="10"/>
      <c r="B975" s="226"/>
      <c r="C975" s="10"/>
      <c r="D975" s="14"/>
      <c r="E975" s="244"/>
      <c r="F975" s="10"/>
      <c r="G975" s="17"/>
      <c r="H975" s="10"/>
      <c r="I975" s="17"/>
      <c r="J975" s="82"/>
      <c r="K975" s="340"/>
      <c r="L975" s="344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>
      <c r="A976" s="10"/>
      <c r="B976" s="226"/>
      <c r="C976" s="10"/>
      <c r="D976" s="14"/>
      <c r="E976" s="244"/>
      <c r="F976" s="10"/>
      <c r="G976" s="17"/>
      <c r="H976" s="10"/>
      <c r="I976" s="17"/>
      <c r="J976" s="82"/>
      <c r="K976" s="340"/>
      <c r="L976" s="344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>
      <c r="A977" s="10"/>
      <c r="B977" s="226"/>
      <c r="C977" s="10"/>
      <c r="D977" s="14"/>
      <c r="E977" s="244"/>
      <c r="F977" s="10"/>
      <c r="G977" s="17"/>
      <c r="H977" s="10"/>
      <c r="I977" s="17"/>
      <c r="J977" s="82"/>
      <c r="K977" s="340"/>
      <c r="L977" s="344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>
      <c r="A978" s="10"/>
      <c r="B978" s="226"/>
      <c r="C978" s="10"/>
      <c r="D978" s="14"/>
      <c r="E978" s="244"/>
      <c r="F978" s="10"/>
      <c r="G978" s="17"/>
      <c r="H978" s="10"/>
      <c r="I978" s="17"/>
      <c r="J978" s="82"/>
      <c r="K978" s="340"/>
      <c r="L978" s="344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>
      <c r="A979" s="10"/>
      <c r="B979" s="226"/>
      <c r="C979" s="10"/>
      <c r="D979" s="14"/>
      <c r="E979" s="244"/>
      <c r="F979" s="10"/>
      <c r="G979" s="17"/>
      <c r="H979" s="10"/>
      <c r="I979" s="17"/>
      <c r="J979" s="82"/>
      <c r="K979" s="340"/>
      <c r="L979" s="344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>
      <c r="A980" s="10"/>
      <c r="B980" s="226"/>
      <c r="C980" s="10"/>
      <c r="D980" s="14"/>
      <c r="E980" s="244"/>
      <c r="F980" s="10"/>
      <c r="G980" s="17"/>
      <c r="H980" s="10"/>
      <c r="I980" s="17"/>
      <c r="J980" s="82"/>
      <c r="K980" s="340"/>
      <c r="L980" s="344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>
      <c r="A981" s="17"/>
      <c r="B981" s="227"/>
      <c r="C981" s="17"/>
      <c r="D981" s="18"/>
      <c r="E981" s="156"/>
      <c r="F981" s="17"/>
      <c r="G981" s="17"/>
      <c r="H981" s="10"/>
      <c r="I981" s="17"/>
      <c r="J981" s="82"/>
      <c r="K981" s="340"/>
      <c r="L981" s="344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>
      <c r="A982" s="10" t="s">
        <v>256</v>
      </c>
      <c r="B982" s="226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5"/>
      <c r="F982" s="10"/>
      <c r="G982" s="17"/>
      <c r="H982" s="10"/>
      <c r="I982" s="17"/>
      <c r="J982" s="82"/>
      <c r="K982" s="341">
        <v>0.501</v>
      </c>
      <c r="L982" s="344">
        <v>1200</v>
      </c>
      <c r="M982" s="88"/>
      <c r="N982" s="10" t="s">
        <v>121</v>
      </c>
      <c r="O982" s="22" t="str">
        <f>$O$2</f>
        <v/>
      </c>
      <c r="P982" s="21" t="str">
        <f>Enginuity!$A$19</f>
        <v>P/C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>
      <c r="A983" s="10" t="s">
        <v>256</v>
      </c>
      <c r="B983" s="226" t="s">
        <v>325</v>
      </c>
      <c r="C983" s="10" t="s">
        <v>338</v>
      </c>
      <c r="D983" s="14" t="str">
        <v>Black Aluminium Mesh 1.6mm</v>
      </c>
      <c r="E983" s="155"/>
      <c r="F983" s="10"/>
      <c r="G983" s="17"/>
      <c r="H983" s="10"/>
      <c r="I983" s="17"/>
      <c r="J983" s="82"/>
      <c r="K983" s="340"/>
      <c r="L983" s="344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4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>
      <c r="A984" s="10" t="s">
        <v>256</v>
      </c>
      <c r="B984" s="226" t="s">
        <v>325</v>
      </c>
      <c r="C984" s="10" t="s">
        <v>338</v>
      </c>
      <c r="D984" s="14" t="str">
        <v>Black Aluminium Mesh 1.8mm</v>
      </c>
      <c r="E984" s="155"/>
      <c r="F984" s="11"/>
      <c r="G984" s="17"/>
      <c r="H984" s="10"/>
      <c r="I984" s="17"/>
      <c r="J984" s="82"/>
      <c r="K984" s="340"/>
      <c r="L984" s="344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1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>
      <c r="A985" s="10" t="s">
        <v>256</v>
      </c>
      <c r="B985" s="226" t="s">
        <v>325</v>
      </c>
      <c r="C985" s="10" t="s">
        <v>338</v>
      </c>
      <c r="D985" s="14" t="str">
        <v>Black Stainless Steel Mesh 1.0mm</v>
      </c>
      <c r="E985" s="155"/>
      <c r="F985" s="11"/>
      <c r="G985" s="17"/>
      <c r="H985" s="10"/>
      <c r="I985" s="17"/>
      <c r="J985" s="82"/>
      <c r="K985" s="340"/>
      <c r="L985" s="344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4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>
      <c r="A986" s="10" t="s">
        <v>256</v>
      </c>
      <c r="B986" s="226" t="s">
        <v>325</v>
      </c>
      <c r="C986" s="10" t="s">
        <v>338</v>
      </c>
      <c r="D986" s="14" t="str">
        <v/>
      </c>
      <c r="E986" s="155" t="s">
        <v>337</v>
      </c>
      <c r="F986" s="11"/>
      <c r="G986" s="17"/>
      <c r="H986" s="10"/>
      <c r="I986" s="17"/>
      <c r="J986" s="82"/>
      <c r="K986" s="340"/>
      <c r="L986" s="344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>
      <c r="A987" s="10" t="s">
        <v>256</v>
      </c>
      <c r="B987" s="226" t="s">
        <v>325</v>
      </c>
      <c r="C987" s="10" t="s">
        <v>338</v>
      </c>
      <c r="D987" s="14" t="str">
        <v/>
      </c>
      <c r="E987" s="155" t="s">
        <v>337</v>
      </c>
      <c r="F987" s="11"/>
      <c r="G987" s="17"/>
      <c r="H987" s="10"/>
      <c r="I987" s="17"/>
      <c r="J987" s="82"/>
      <c r="K987" s="340"/>
      <c r="L987" s="344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>
      <c r="A988" s="10" t="s">
        <v>256</v>
      </c>
      <c r="B988" s="226" t="s">
        <v>325</v>
      </c>
      <c r="C988" s="10" t="s">
        <v>338</v>
      </c>
      <c r="D988" s="14" t="str">
        <v/>
      </c>
      <c r="E988" s="155"/>
      <c r="F988" s="10"/>
      <c r="G988" s="17"/>
      <c r="H988" s="10"/>
      <c r="I988" s="17"/>
      <c r="J988" s="82"/>
      <c r="K988" s="340"/>
      <c r="L988" s="344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>
      <c r="A989" s="17"/>
      <c r="B989" s="227"/>
      <c r="C989" s="17"/>
      <c r="D989" s="18"/>
      <c r="E989" s="235"/>
      <c r="F989" s="17"/>
      <c r="G989" s="17"/>
      <c r="H989" s="10"/>
      <c r="I989" s="17"/>
      <c r="J989" s="82"/>
      <c r="K989" s="340"/>
      <c r="L989" s="344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>
      <c r="A990" s="10" t="s">
        <v>256</v>
      </c>
      <c r="B990" s="226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4" t="s">
        <v>1418</v>
      </c>
      <c r="F990" s="244" t="s">
        <v>1419</v>
      </c>
      <c r="G990" s="17"/>
      <c r="H990" s="10"/>
      <c r="I990" s="17"/>
      <c r="J990" s="82"/>
      <c r="K990" s="341">
        <v>0.53600000000000003</v>
      </c>
      <c r="L990" s="344">
        <v>762</v>
      </c>
      <c r="M990" s="88"/>
      <c r="N990" s="10" t="s">
        <v>121</v>
      </c>
      <c r="O990" s="22" t="str">
        <f>$O$2</f>
        <v/>
      </c>
      <c r="P990" s="21" t="str">
        <f>Enginuity!$A$19</f>
        <v>P/C</v>
      </c>
      <c r="Q990" s="82">
        <f>IFERROR(
  IF(OR(Enginuity!$B$6="",Enginuity!$B$7=""),"",
     VALUE(Enginuity!$B$6)*VALUE(Enginuity!$B$7) - N(Q998)
  ),
"")</f>
        <v>64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>
      <c r="A991" s="10" t="s">
        <v>256</v>
      </c>
      <c r="B991" s="226" t="s">
        <v>331</v>
      </c>
      <c r="C991" s="10" t="s">
        <v>324</v>
      </c>
      <c r="D991" s="14" t="str">
        <v>Black Aluminium Mesh 1.6mm</v>
      </c>
      <c r="E991" s="244"/>
      <c r="F991" s="244"/>
      <c r="G991" s="17"/>
      <c r="H991" s="10"/>
      <c r="I991" s="17"/>
      <c r="J991" s="82"/>
      <c r="K991" s="340"/>
      <c r="L991" s="344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4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>
      <c r="A992" s="10" t="s">
        <v>256</v>
      </c>
      <c r="B992" s="226" t="s">
        <v>331</v>
      </c>
      <c r="C992" s="10" t="s">
        <v>324</v>
      </c>
      <c r="D992" s="14" t="str">
        <v>Black Aluminium Mesh 1.8mm</v>
      </c>
      <c r="E992" s="244" t="s">
        <v>1418</v>
      </c>
      <c r="F992" s="10"/>
      <c r="G992" s="17"/>
      <c r="H992" s="10"/>
      <c r="I992" s="17"/>
      <c r="J992" s="82"/>
      <c r="K992" s="340"/>
      <c r="L992" s="344"/>
      <c r="M992" s="88"/>
      <c r="N992" s="10" t="s">
        <v>112</v>
      </c>
      <c r="O992" s="22">
        <v>37</v>
      </c>
      <c r="P992" s="14" t="s">
        <v>341</v>
      </c>
      <c r="Q992" s="96">
        <f>Enginuity!$B$13</f>
        <v>4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>
      <c r="A993" s="10" t="s">
        <v>256</v>
      </c>
      <c r="B993" s="226" t="s">
        <v>331</v>
      </c>
      <c r="C993" s="10" t="s">
        <v>324</v>
      </c>
      <c r="D993" s="14" t="str">
        <v>Black Stainless Steel Mesh 1.0mm</v>
      </c>
      <c r="E993" s="244" t="s">
        <v>1418</v>
      </c>
      <c r="F993" s="10"/>
      <c r="G993" s="17"/>
      <c r="H993" s="10"/>
      <c r="I993" s="17"/>
      <c r="J993" s="82"/>
      <c r="K993" s="340"/>
      <c r="L993" s="344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>
      <c r="A994" s="10" t="s">
        <v>256</v>
      </c>
      <c r="B994" s="226" t="s">
        <v>331</v>
      </c>
      <c r="C994" s="10" t="s">
        <v>324</v>
      </c>
      <c r="D994" s="14" t="str">
        <v/>
      </c>
      <c r="E994" s="244" t="s">
        <v>1418</v>
      </c>
      <c r="F994" s="10"/>
      <c r="G994" s="17"/>
      <c r="H994" s="10"/>
      <c r="I994" s="17"/>
      <c r="J994" s="82"/>
      <c r="K994" s="340"/>
      <c r="L994" s="344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1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>
      <c r="A995" s="10" t="s">
        <v>256</v>
      </c>
      <c r="B995" s="226" t="s">
        <v>331</v>
      </c>
      <c r="C995" s="10" t="s">
        <v>324</v>
      </c>
      <c r="D995" s="14" t="str">
        <v/>
      </c>
      <c r="E995" s="244" t="s">
        <v>1418</v>
      </c>
      <c r="F995" s="10"/>
      <c r="G995" s="17"/>
      <c r="H995" s="10"/>
      <c r="I995" s="17"/>
      <c r="J995" s="82"/>
      <c r="K995" s="341"/>
      <c r="L995" s="344"/>
      <c r="M995" s="88"/>
      <c r="N995" s="10" t="s">
        <v>176</v>
      </c>
      <c r="O995" s="22">
        <f>SUMPRODUCT(O998:O1001, Q998:Q1001)</f>
        <v>108.2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>
      <c r="A996" s="10" t="s">
        <v>256</v>
      </c>
      <c r="B996" s="226" t="s">
        <v>331</v>
      </c>
      <c r="C996" s="10" t="s">
        <v>324</v>
      </c>
      <c r="D996" s="14" t="str">
        <v/>
      </c>
      <c r="E996" s="244" t="s">
        <v>1418</v>
      </c>
      <c r="F996" s="10"/>
      <c r="G996" s="17"/>
      <c r="H996" s="10"/>
      <c r="I996" s="17"/>
      <c r="J996" s="82"/>
      <c r="K996" s="341"/>
      <c r="L996" s="344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>
      <c r="A997" s="10" t="s">
        <v>256</v>
      </c>
      <c r="B997" s="226" t="s">
        <v>331</v>
      </c>
      <c r="C997" s="10" t="s">
        <v>324</v>
      </c>
      <c r="D997" s="14" t="str">
        <v/>
      </c>
      <c r="E997" s="244" t="s">
        <v>1418</v>
      </c>
      <c r="F997" s="10"/>
      <c r="G997" s="17"/>
      <c r="H997" s="10"/>
      <c r="I997" s="17"/>
      <c r="J997" s="82"/>
      <c r="K997" s="340"/>
      <c r="L997" s="344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>
      <c r="A998" s="10" t="s">
        <v>256</v>
      </c>
      <c r="B998" s="226" t="s">
        <v>331</v>
      </c>
      <c r="C998" s="10"/>
      <c r="D998" s="14" t="str">
        <v/>
      </c>
      <c r="E998" s="155"/>
      <c r="F998" s="10"/>
      <c r="G998" s="17"/>
      <c r="H998" s="10"/>
      <c r="I998" s="17"/>
      <c r="J998" s="82"/>
      <c r="K998" s="341"/>
      <c r="L998" s="344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P/C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>
      <c r="A999" s="10" t="s">
        <v>256</v>
      </c>
      <c r="B999" s="226" t="s">
        <v>331</v>
      </c>
      <c r="C999" s="10"/>
      <c r="D999" s="14" t="str">
        <v/>
      </c>
      <c r="E999" s="155"/>
      <c r="F999" s="10"/>
      <c r="G999" s="17"/>
      <c r="H999" s="10"/>
      <c r="I999" s="17"/>
      <c r="J999" s="82"/>
      <c r="K999" s="341"/>
      <c r="L999" s="344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27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>
      <c r="A1000" s="10" t="s">
        <v>256</v>
      </c>
      <c r="B1000" s="226" t="s">
        <v>331</v>
      </c>
      <c r="C1000" s="10"/>
      <c r="D1000" s="14"/>
      <c r="E1000" s="155"/>
      <c r="F1000" s="10"/>
      <c r="G1000" s="17"/>
      <c r="H1000" s="10"/>
      <c r="I1000" s="17"/>
      <c r="J1000" s="82"/>
      <c r="K1000" s="340"/>
      <c r="L1000" s="344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>
      <c r="A1001" s="10" t="s">
        <v>256</v>
      </c>
      <c r="B1001" s="226" t="s">
        <v>331</v>
      </c>
      <c r="C1001" s="10"/>
      <c r="D1001" s="14"/>
      <c r="E1001" s="155"/>
      <c r="F1001" s="11"/>
      <c r="G1001" s="17"/>
      <c r="H1001" s="10"/>
      <c r="I1001" s="17"/>
      <c r="J1001" s="82"/>
      <c r="K1001" s="340"/>
      <c r="L1001" s="344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8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>
      <c r="A1002" s="10" t="s">
        <v>256</v>
      </c>
      <c r="B1002" s="226" t="s">
        <v>331</v>
      </c>
      <c r="C1002" s="10"/>
      <c r="D1002" s="14"/>
      <c r="E1002" s="155"/>
      <c r="F1002" s="11"/>
      <c r="G1002" s="17"/>
      <c r="H1002" s="10"/>
      <c r="I1002" s="17"/>
      <c r="J1002" s="82"/>
      <c r="K1002" s="340"/>
      <c r="L1002" s="344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>
      <c r="A1003" s="17"/>
      <c r="B1003" s="227"/>
      <c r="C1003" s="17"/>
      <c r="D1003" s="18"/>
      <c r="E1003" s="235"/>
      <c r="F1003" s="17"/>
      <c r="G1003" s="17"/>
      <c r="H1003" s="10"/>
      <c r="I1003" s="17"/>
      <c r="J1003" s="82"/>
      <c r="K1003" s="341"/>
      <c r="L1003" s="344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>
      <c r="A1004" s="10" t="s">
        <v>256</v>
      </c>
      <c r="B1004" s="226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5"/>
      <c r="F1004" s="10"/>
      <c r="G1004" s="17"/>
      <c r="H1004" s="10"/>
      <c r="I1004" s="17"/>
      <c r="J1004" s="82"/>
      <c r="K1004" s="341">
        <v>0.53600000000000003</v>
      </c>
      <c r="L1004" s="344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P/C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>
      <c r="A1005" s="10" t="s">
        <v>256</v>
      </c>
      <c r="B1005" s="226" t="s">
        <v>331</v>
      </c>
      <c r="C1005" s="10" t="s">
        <v>339</v>
      </c>
      <c r="D1005" s="14" t="str">
        <v>Black Aluminium Mesh 1.6mm</v>
      </c>
      <c r="E1005" s="155"/>
      <c r="F1005" s="10"/>
      <c r="G1005" s="17"/>
      <c r="H1005" s="10"/>
      <c r="I1005" s="17"/>
      <c r="J1005" s="82"/>
      <c r="K1005" s="340"/>
      <c r="L1005" s="344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27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>
      <c r="A1006" s="10" t="s">
        <v>256</v>
      </c>
      <c r="B1006" s="226" t="s">
        <v>331</v>
      </c>
      <c r="C1006" s="10" t="s">
        <v>339</v>
      </c>
      <c r="D1006" s="14" t="str">
        <v>Black Aluminium Mesh 1.8mm</v>
      </c>
      <c r="E1006" s="155"/>
      <c r="F1006" s="11"/>
      <c r="G1006" s="17"/>
      <c r="H1006" s="10"/>
      <c r="I1006" s="17"/>
      <c r="J1006" s="82"/>
      <c r="K1006" s="340"/>
      <c r="L1006" s="344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>
      <c r="A1007" s="10" t="s">
        <v>256</v>
      </c>
      <c r="B1007" s="226" t="s">
        <v>331</v>
      </c>
      <c r="C1007" s="10" t="s">
        <v>339</v>
      </c>
      <c r="D1007" s="14" t="str">
        <v>Black Stainless Steel Mesh 1.0mm</v>
      </c>
      <c r="E1007" s="155"/>
      <c r="F1007" s="11"/>
      <c r="G1007" s="17"/>
      <c r="H1007" s="10"/>
      <c r="I1007" s="17"/>
      <c r="J1007" s="82"/>
      <c r="K1007" s="340"/>
      <c r="L1007" s="344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8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>
      <c r="A1008" s="17"/>
      <c r="B1008" s="227"/>
      <c r="C1008" s="17"/>
      <c r="D1008" s="18" t="str">
        <v/>
      </c>
      <c r="E1008" s="235"/>
      <c r="F1008" s="23"/>
      <c r="G1008" s="17"/>
      <c r="H1008" s="10"/>
      <c r="I1008" s="17"/>
      <c r="J1008" s="82"/>
      <c r="K1008" s="340"/>
      <c r="L1008" s="344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>
      <c r="A1009" s="10" t="s">
        <v>256</v>
      </c>
      <c r="B1009" s="226" t="s">
        <v>331</v>
      </c>
      <c r="C1009" s="10" t="s">
        <v>345</v>
      </c>
      <c r="D1009" s="14"/>
      <c r="E1009" s="155"/>
      <c r="F1009" s="10"/>
      <c r="G1009" s="17"/>
      <c r="H1009" s="10"/>
      <c r="I1009" s="17"/>
      <c r="J1009" s="82"/>
      <c r="K1009" s="341">
        <v>0.53600000000000003</v>
      </c>
      <c r="L1009" s="344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>
      <c r="A1010" s="10" t="s">
        <v>256</v>
      </c>
      <c r="B1010" s="226" t="s">
        <v>331</v>
      </c>
      <c r="C1010" s="10" t="s">
        <v>345</v>
      </c>
      <c r="D1010" s="14"/>
      <c r="E1010" s="155"/>
      <c r="F1010" s="10"/>
      <c r="G1010" s="17"/>
      <c r="H1010" s="10"/>
      <c r="I1010" s="17"/>
      <c r="J1010" s="82"/>
      <c r="K1010" s="340"/>
      <c r="L1010" s="344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>
      <c r="A1011" s="10" t="s">
        <v>256</v>
      </c>
      <c r="B1011" s="226" t="s">
        <v>331</v>
      </c>
      <c r="C1011" s="10" t="s">
        <v>345</v>
      </c>
      <c r="D1011" s="14"/>
      <c r="E1011" s="155"/>
      <c r="F1011" s="10"/>
      <c r="G1011" s="17"/>
      <c r="H1011" s="10"/>
      <c r="I1011" s="17"/>
      <c r="J1011" s="82"/>
      <c r="K1011" s="340"/>
      <c r="L1011" s="344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>
      <c r="A1012" s="10" t="s">
        <v>256</v>
      </c>
      <c r="B1012" s="226" t="s">
        <v>331</v>
      </c>
      <c r="C1012" s="10" t="s">
        <v>345</v>
      </c>
      <c r="D1012" s="14"/>
      <c r="E1012" s="155"/>
      <c r="F1012" s="10"/>
      <c r="G1012" s="17"/>
      <c r="H1012" s="10"/>
      <c r="I1012" s="17"/>
      <c r="J1012" s="82"/>
      <c r="K1012" s="340"/>
      <c r="L1012" s="344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>
      <c r="A1013" s="10" t="s">
        <v>256</v>
      </c>
      <c r="B1013" s="226" t="s">
        <v>331</v>
      </c>
      <c r="C1013" s="10" t="s">
        <v>345</v>
      </c>
      <c r="D1013" s="14"/>
      <c r="E1013" s="155"/>
      <c r="F1013" s="10"/>
      <c r="G1013" s="17"/>
      <c r="H1013" s="10"/>
      <c r="I1013" s="17"/>
      <c r="J1013" s="82"/>
      <c r="K1013" s="340"/>
      <c r="L1013" s="344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>
      <c r="A1014" s="17"/>
      <c r="B1014" s="227"/>
      <c r="C1014" s="17"/>
      <c r="D1014" s="109"/>
      <c r="E1014" s="235"/>
      <c r="F1014" s="23"/>
      <c r="G1014" s="17"/>
      <c r="H1014" s="10"/>
      <c r="I1014" s="17"/>
      <c r="J1014" s="82"/>
      <c r="K1014" s="340"/>
      <c r="L1014" s="344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>
      <c r="A1015" s="10" t="s">
        <v>256</v>
      </c>
      <c r="B1015" s="226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5"/>
      <c r="F1015" s="11"/>
      <c r="G1015" s="17"/>
      <c r="H1015" s="10"/>
      <c r="I1015" s="17"/>
      <c r="J1015" s="82"/>
      <c r="K1015" s="341">
        <v>0.45600000000000002</v>
      </c>
      <c r="L1015" s="344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P/C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>
      <c r="A1016" s="10" t="s">
        <v>256</v>
      </c>
      <c r="B1016" s="226" t="s">
        <v>331</v>
      </c>
      <c r="C1016" s="10" t="s">
        <v>325</v>
      </c>
      <c r="D1016" s="14" t="str">
        <v>Black Aluminium Mesh 1.6mm</v>
      </c>
      <c r="E1016" s="155"/>
      <c r="F1016" s="11"/>
      <c r="G1016" s="17"/>
      <c r="H1016" s="10"/>
      <c r="I1016" s="17"/>
      <c r="J1016" s="82"/>
      <c r="K1016" s="340"/>
      <c r="L1016" s="344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>
      <c r="A1017" s="10" t="s">
        <v>256</v>
      </c>
      <c r="B1017" s="226" t="s">
        <v>331</v>
      </c>
      <c r="C1017" s="10" t="s">
        <v>325</v>
      </c>
      <c r="D1017" s="14" t="str">
        <v>Black Aluminium Mesh 1.8mm</v>
      </c>
      <c r="E1017" s="155"/>
      <c r="F1017" s="11"/>
      <c r="G1017" s="17"/>
      <c r="H1017" s="10"/>
      <c r="I1017" s="17"/>
      <c r="J1017" s="82"/>
      <c r="K1017" s="340"/>
      <c r="L1017" s="344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27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>
      <c r="A1018" s="10" t="s">
        <v>256</v>
      </c>
      <c r="B1018" s="226" t="s">
        <v>331</v>
      </c>
      <c r="C1018" s="10" t="s">
        <v>325</v>
      </c>
      <c r="D1018" s="14" t="str">
        <v>Black Stainless Steel Mesh 1.0mm</v>
      </c>
      <c r="E1018" s="155"/>
      <c r="F1018" s="10"/>
      <c r="G1018" s="17"/>
      <c r="H1018" s="10"/>
      <c r="I1018" s="17"/>
      <c r="J1018" s="82"/>
      <c r="K1018" s="340"/>
      <c r="L1018" s="344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>
      <c r="A1019" s="10" t="s">
        <v>256</v>
      </c>
      <c r="B1019" s="226" t="s">
        <v>331</v>
      </c>
      <c r="C1019" s="10" t="s">
        <v>325</v>
      </c>
      <c r="D1019" s="14" t="str">
        <v/>
      </c>
      <c r="E1019" s="155"/>
      <c r="F1019" s="10"/>
      <c r="G1019" s="17"/>
      <c r="H1019" s="10"/>
      <c r="I1019" s="17"/>
      <c r="J1019" s="82"/>
      <c r="K1019" s="340"/>
      <c r="L1019" s="344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1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>
      <c r="A1020" s="10" t="s">
        <v>256</v>
      </c>
      <c r="B1020" s="226" t="s">
        <v>331</v>
      </c>
      <c r="C1020" s="10" t="s">
        <v>325</v>
      </c>
      <c r="D1020" s="14"/>
      <c r="E1020" s="155"/>
      <c r="F1020" s="10"/>
      <c r="G1020" s="17"/>
      <c r="H1020" s="10"/>
      <c r="I1020" s="17"/>
      <c r="J1020" s="82"/>
      <c r="K1020" s="340"/>
      <c r="L1020" s="344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1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>
      <c r="A1021" s="10" t="s">
        <v>256</v>
      </c>
      <c r="B1021" s="226" t="s">
        <v>331</v>
      </c>
      <c r="C1021" s="10" t="s">
        <v>325</v>
      </c>
      <c r="D1021" s="14"/>
      <c r="E1021" s="155"/>
      <c r="F1021" s="10"/>
      <c r="G1021" s="17"/>
      <c r="H1021" s="10"/>
      <c r="I1021" s="17"/>
      <c r="J1021" s="82"/>
      <c r="K1021" s="340"/>
      <c r="L1021" s="344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8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>
      <c r="A1022" s="10" t="s">
        <v>256</v>
      </c>
      <c r="B1022" s="226" t="s">
        <v>331</v>
      </c>
      <c r="C1022" s="10" t="s">
        <v>325</v>
      </c>
      <c r="D1022" s="14"/>
      <c r="E1022" s="155"/>
      <c r="F1022" s="10"/>
      <c r="G1022" s="17"/>
      <c r="H1022" s="10"/>
      <c r="I1022" s="17"/>
      <c r="J1022" s="82"/>
      <c r="K1022" s="340"/>
      <c r="L1022" s="344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>
      <c r="A1023" s="10" t="s">
        <v>256</v>
      </c>
      <c r="B1023" s="226" t="s">
        <v>331</v>
      </c>
      <c r="C1023" s="10" t="s">
        <v>325</v>
      </c>
      <c r="D1023" s="14"/>
      <c r="E1023" s="155"/>
      <c r="F1023" s="10"/>
      <c r="G1023" s="17"/>
      <c r="H1023" s="10"/>
      <c r="I1023" s="17"/>
      <c r="J1023" s="82"/>
      <c r="K1023" s="340"/>
      <c r="L1023" s="344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>
      <c r="A1024" s="10" t="s">
        <v>256</v>
      </c>
      <c r="B1024" s="226" t="s">
        <v>331</v>
      </c>
      <c r="C1024" s="10" t="s">
        <v>325</v>
      </c>
      <c r="D1024" s="14"/>
      <c r="E1024" s="155"/>
      <c r="F1024" s="10"/>
      <c r="G1024" s="17"/>
      <c r="H1024" s="10"/>
      <c r="I1024" s="17"/>
      <c r="J1024" s="82"/>
      <c r="K1024" s="340"/>
      <c r="L1024" s="344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>
      <c r="A1025" s="10" t="s">
        <v>256</v>
      </c>
      <c r="B1025" s="226" t="s">
        <v>331</v>
      </c>
      <c r="C1025" s="10" t="s">
        <v>325</v>
      </c>
      <c r="D1025" s="14"/>
      <c r="E1025" s="155"/>
      <c r="F1025" s="10"/>
      <c r="G1025" s="17"/>
      <c r="H1025" s="10"/>
      <c r="I1025" s="17"/>
      <c r="J1025" s="82"/>
      <c r="K1025" s="340"/>
      <c r="L1025" s="344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>
      <c r="A1026" s="17" t="s">
        <v>256</v>
      </c>
      <c r="B1026" s="227"/>
      <c r="C1026" s="17"/>
      <c r="D1026" s="18"/>
      <c r="E1026" s="235"/>
      <c r="F1026" s="23"/>
      <c r="G1026" s="17"/>
      <c r="H1026" s="10"/>
      <c r="I1026" s="17"/>
      <c r="J1026" s="82"/>
      <c r="K1026" s="340"/>
      <c r="L1026" s="344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>
      <c r="A1027" s="10" t="s">
        <v>251</v>
      </c>
      <c r="B1027" s="226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4" t="s">
        <v>191</v>
      </c>
      <c r="F1027" s="11"/>
      <c r="G1027" s="17"/>
      <c r="H1027" s="10"/>
      <c r="I1027" s="17"/>
      <c r="J1027" s="82"/>
      <c r="K1027" s="341">
        <v>0.44051499999999999</v>
      </c>
      <c r="L1027" s="344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24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>
      <c r="A1028" s="10" t="s">
        <v>251</v>
      </c>
      <c r="B1028" s="226" t="s">
        <v>1</v>
      </c>
      <c r="C1028" s="10" t="s">
        <v>349</v>
      </c>
      <c r="D1028" s="14" t="str">
        <v>Black Aluminium Mesh 1.6mm</v>
      </c>
      <c r="E1028" s="244" t="s">
        <v>200</v>
      </c>
      <c r="F1028" s="11"/>
      <c r="G1028" s="17"/>
      <c r="H1028" s="10"/>
      <c r="I1028" s="17"/>
      <c r="J1028" s="82"/>
      <c r="K1028" s="340"/>
      <c r="L1028" s="344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8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>
      <c r="A1029" s="10" t="s">
        <v>251</v>
      </c>
      <c r="B1029" s="226" t="s">
        <v>1</v>
      </c>
      <c r="C1029" s="10" t="s">
        <v>349</v>
      </c>
      <c r="D1029" s="14" t="str">
        <v>Black Aluminium Mesh 1.8mm</v>
      </c>
      <c r="E1029" s="244" t="s">
        <v>201</v>
      </c>
      <c r="F1029" s="10"/>
      <c r="G1029" s="17"/>
      <c r="H1029" s="10"/>
      <c r="I1029" s="17"/>
      <c r="J1029" s="82"/>
      <c r="K1029" s="340"/>
      <c r="L1029" s="344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24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>
      <c r="A1030" s="10" t="s">
        <v>251</v>
      </c>
      <c r="B1030" s="226" t="s">
        <v>1</v>
      </c>
      <c r="C1030" s="10" t="s">
        <v>349</v>
      </c>
      <c r="D1030" s="14" t="str">
        <v>Black Stainless Steel Mesh 1.0mm</v>
      </c>
      <c r="E1030" s="244" t="s">
        <v>353</v>
      </c>
      <c r="F1030" s="10"/>
      <c r="G1030" s="17"/>
      <c r="H1030" s="10"/>
      <c r="I1030" s="17"/>
      <c r="J1030" s="82"/>
      <c r="K1030" s="340"/>
      <c r="L1030" s="344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>
      <c r="A1031" s="10" t="s">
        <v>251</v>
      </c>
      <c r="B1031" s="226" t="s">
        <v>1</v>
      </c>
      <c r="C1031" s="10" t="s">
        <v>349</v>
      </c>
      <c r="D1031" s="14" t="str">
        <v/>
      </c>
      <c r="E1031" s="244" t="s">
        <v>354</v>
      </c>
      <c r="F1031" s="10"/>
      <c r="G1031" s="17"/>
      <c r="H1031" s="10"/>
      <c r="I1031" s="17"/>
      <c r="J1031" s="82"/>
      <c r="K1031" s="340"/>
      <c r="L1031" s="344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>
      <c r="A1032" s="10" t="s">
        <v>251</v>
      </c>
      <c r="B1032" s="226" t="s">
        <v>1</v>
      </c>
      <c r="C1032" s="10" t="s">
        <v>349</v>
      </c>
      <c r="D1032" s="14"/>
      <c r="E1032" s="244" t="s">
        <v>355</v>
      </c>
      <c r="F1032" s="10"/>
      <c r="G1032" s="17"/>
      <c r="H1032" s="10"/>
      <c r="I1032" s="17"/>
      <c r="J1032" s="82"/>
      <c r="K1032" s="340"/>
      <c r="L1032" s="344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>
      <c r="A1033" s="10" t="s">
        <v>251</v>
      </c>
      <c r="B1033" s="226" t="s">
        <v>1</v>
      </c>
      <c r="C1033" s="10" t="s">
        <v>349</v>
      </c>
      <c r="D1033" s="14"/>
      <c r="E1033" s="244"/>
      <c r="F1033" s="10"/>
      <c r="G1033" s="17"/>
      <c r="H1033" s="10"/>
      <c r="I1033" s="17"/>
      <c r="J1033" s="82"/>
      <c r="K1033" s="340"/>
      <c r="L1033" s="344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>
      <c r="A1034" s="10" t="s">
        <v>251</v>
      </c>
      <c r="B1034" s="226" t="s">
        <v>1</v>
      </c>
      <c r="C1034" s="10" t="s">
        <v>349</v>
      </c>
      <c r="D1034" s="14"/>
      <c r="E1034" s="244"/>
      <c r="F1034" s="10"/>
      <c r="G1034" s="17"/>
      <c r="H1034" s="10"/>
      <c r="I1034" s="17"/>
      <c r="J1034" s="82"/>
      <c r="K1034" s="340"/>
      <c r="L1034" s="344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>
      <c r="A1035" s="10" t="s">
        <v>251</v>
      </c>
      <c r="B1035" s="226" t="s">
        <v>1</v>
      </c>
      <c r="C1035" s="10" t="s">
        <v>349</v>
      </c>
      <c r="D1035" s="14"/>
      <c r="E1035" s="244"/>
      <c r="F1035" s="10"/>
      <c r="G1035" s="17"/>
      <c r="H1035" s="10"/>
      <c r="I1035" s="17"/>
      <c r="J1035" s="82"/>
      <c r="K1035" s="340"/>
      <c r="L1035" s="344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>
      <c r="A1036" s="10" t="s">
        <v>251</v>
      </c>
      <c r="B1036" s="226" t="s">
        <v>1</v>
      </c>
      <c r="C1036" s="10" t="s">
        <v>349</v>
      </c>
      <c r="D1036" s="14"/>
      <c r="E1036" s="244"/>
      <c r="F1036" s="10"/>
      <c r="G1036" s="17"/>
      <c r="H1036" s="10"/>
      <c r="I1036" s="17"/>
      <c r="J1036" s="82"/>
      <c r="K1036" s="340"/>
      <c r="L1036" s="344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>
      <c r="A1037" s="10" t="s">
        <v>251</v>
      </c>
      <c r="B1037" s="226" t="s">
        <v>1</v>
      </c>
      <c r="C1037" s="10" t="s">
        <v>349</v>
      </c>
      <c r="D1037" s="14"/>
      <c r="E1037" s="244"/>
      <c r="F1037" s="10"/>
      <c r="G1037" s="17"/>
      <c r="H1037" s="10"/>
      <c r="I1037" s="17"/>
      <c r="J1037" s="82"/>
      <c r="K1037" s="340"/>
      <c r="L1037" s="344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>
      <c r="A1038" s="10" t="s">
        <v>251</v>
      </c>
      <c r="B1038" s="226" t="s">
        <v>1</v>
      </c>
      <c r="C1038" s="10" t="s">
        <v>349</v>
      </c>
      <c r="D1038" s="14"/>
      <c r="E1038" s="244"/>
      <c r="F1038" s="10"/>
      <c r="G1038" s="17"/>
      <c r="H1038" s="10"/>
      <c r="I1038" s="17"/>
      <c r="J1038" s="82"/>
      <c r="K1038" s="340"/>
      <c r="L1038" s="344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>
      <c r="A1039" s="10" t="s">
        <v>251</v>
      </c>
      <c r="B1039" s="226" t="s">
        <v>1</v>
      </c>
      <c r="C1039" s="10" t="s">
        <v>349</v>
      </c>
      <c r="D1039" s="14"/>
      <c r="E1039" s="244"/>
      <c r="F1039" s="10"/>
      <c r="G1039" s="17"/>
      <c r="H1039" s="10"/>
      <c r="I1039" s="17"/>
      <c r="J1039" s="82"/>
      <c r="K1039" s="340"/>
      <c r="L1039" s="344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>
      <c r="A1040" s="10" t="s">
        <v>251</v>
      </c>
      <c r="B1040" s="226" t="s">
        <v>1</v>
      </c>
      <c r="C1040" s="10" t="s">
        <v>349</v>
      </c>
      <c r="D1040" s="14"/>
      <c r="E1040" s="244"/>
      <c r="F1040" s="10"/>
      <c r="G1040" s="17"/>
      <c r="H1040" s="10"/>
      <c r="I1040" s="17"/>
      <c r="J1040" s="82"/>
      <c r="K1040" s="340"/>
      <c r="L1040" s="344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4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>
      <c r="A1041" s="10" t="s">
        <v>251</v>
      </c>
      <c r="B1041" s="226" t="s">
        <v>1</v>
      </c>
      <c r="C1041" s="10" t="s">
        <v>349</v>
      </c>
      <c r="D1041" s="14"/>
      <c r="E1041" s="244"/>
      <c r="F1041" s="10"/>
      <c r="G1041" s="17"/>
      <c r="H1041" s="10"/>
      <c r="I1041" s="17"/>
      <c r="J1041" s="82"/>
      <c r="K1041" s="340"/>
      <c r="L1041" s="344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>
      <c r="A1042" s="10" t="s">
        <v>251</v>
      </c>
      <c r="B1042" s="226" t="s">
        <v>1</v>
      </c>
      <c r="C1042" s="10" t="s">
        <v>349</v>
      </c>
      <c r="D1042" s="14"/>
      <c r="E1042" s="244"/>
      <c r="F1042" s="10"/>
      <c r="G1042" s="17"/>
      <c r="H1042" s="10"/>
      <c r="I1042" s="17"/>
      <c r="J1042" s="82"/>
      <c r="K1042" s="340"/>
      <c r="L1042" s="344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>
      <c r="A1043" s="10" t="s">
        <v>251</v>
      </c>
      <c r="B1043" s="226" t="s">
        <v>1</v>
      </c>
      <c r="C1043" s="10" t="s">
        <v>349</v>
      </c>
      <c r="D1043" s="14"/>
      <c r="E1043" s="244"/>
      <c r="F1043" s="10"/>
      <c r="G1043" s="17"/>
      <c r="H1043" s="10"/>
      <c r="I1043" s="17"/>
      <c r="J1043" s="82"/>
      <c r="K1043" s="340"/>
      <c r="L1043" s="344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8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>
      <c r="A1044" s="10" t="s">
        <v>251</v>
      </c>
      <c r="B1044" s="226" t="s">
        <v>1</v>
      </c>
      <c r="C1044" s="10" t="s">
        <v>349</v>
      </c>
      <c r="D1044" s="14"/>
      <c r="E1044" s="244"/>
      <c r="F1044" s="11"/>
      <c r="G1044" s="17"/>
      <c r="H1044" s="10"/>
      <c r="I1044" s="17"/>
      <c r="J1044" s="82"/>
      <c r="K1044" s="340"/>
      <c r="L1044" s="344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>
      <c r="A1045" s="10" t="s">
        <v>251</v>
      </c>
      <c r="B1045" s="226" t="s">
        <v>1</v>
      </c>
      <c r="C1045" s="10" t="s">
        <v>349</v>
      </c>
      <c r="D1045" s="14"/>
      <c r="E1045" s="244"/>
      <c r="F1045" s="10"/>
      <c r="G1045" s="17"/>
      <c r="H1045" s="10"/>
      <c r="I1045" s="17"/>
      <c r="J1045" s="82"/>
      <c r="K1045" s="340"/>
      <c r="L1045" s="344"/>
      <c r="M1045" s="22"/>
      <c r="N1045" s="10" t="s">
        <v>121</v>
      </c>
      <c r="O1045" s="22" t="str">
        <f>$O$2</f>
        <v/>
      </c>
      <c r="P1045" s="21" t="str">
        <f>Enginuity!$A$19</f>
        <v>P/C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>
      <c r="A1046" s="17" t="s">
        <v>251</v>
      </c>
      <c r="B1046" s="227" t="s">
        <v>1</v>
      </c>
      <c r="C1046" s="17"/>
      <c r="D1046" s="18"/>
      <c r="E1046" s="156"/>
      <c r="F1046" s="17"/>
      <c r="G1046" s="17"/>
      <c r="H1046" s="10"/>
      <c r="I1046" s="17"/>
      <c r="J1046" s="82"/>
      <c r="K1046" s="340"/>
      <c r="L1046" s="344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>
      <c r="A1047" s="10" t="s">
        <v>251</v>
      </c>
      <c r="B1047" s="226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4" t="s">
        <v>191</v>
      </c>
      <c r="F1047" s="10"/>
      <c r="G1047" s="17"/>
      <c r="H1047" s="10"/>
      <c r="I1047" s="17"/>
      <c r="J1047" s="82"/>
      <c r="K1047" s="341">
        <v>0.51890599999999998</v>
      </c>
      <c r="L1047" s="344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24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>
      <c r="A1048" s="10" t="s">
        <v>251</v>
      </c>
      <c r="B1048" s="226" t="s">
        <v>1</v>
      </c>
      <c r="C1048" s="10" t="s">
        <v>350</v>
      </c>
      <c r="D1048" s="14" t="str">
        <v>Black Aluminium Mesh 1.6mm</v>
      </c>
      <c r="E1048" s="244" t="s">
        <v>200</v>
      </c>
      <c r="F1048" s="11"/>
      <c r="G1048" s="17"/>
      <c r="H1048" s="10"/>
      <c r="I1048" s="17"/>
      <c r="J1048" s="82"/>
      <c r="K1048" s="340"/>
      <c r="L1048" s="344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8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>
      <c r="A1049" s="10" t="s">
        <v>251</v>
      </c>
      <c r="B1049" s="226" t="s">
        <v>1</v>
      </c>
      <c r="C1049" s="10" t="s">
        <v>350</v>
      </c>
      <c r="D1049" s="14" t="str">
        <v>Black Aluminium Mesh 1.8mm</v>
      </c>
      <c r="E1049" s="244" t="s">
        <v>201</v>
      </c>
      <c r="F1049" s="11"/>
      <c r="G1049" s="17"/>
      <c r="H1049" s="10"/>
      <c r="I1049" s="17"/>
      <c r="J1049" s="82"/>
      <c r="K1049" s="340"/>
      <c r="L1049" s="344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24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>
      <c r="A1050" s="10" t="s">
        <v>251</v>
      </c>
      <c r="B1050" s="226" t="s">
        <v>1</v>
      </c>
      <c r="C1050" s="10" t="s">
        <v>350</v>
      </c>
      <c r="D1050" s="14" t="str">
        <v>Black Stainless Steel Mesh 1.0mm</v>
      </c>
      <c r="E1050" s="244" t="s">
        <v>353</v>
      </c>
      <c r="F1050" s="10"/>
      <c r="G1050" s="17"/>
      <c r="H1050" s="10"/>
      <c r="I1050" s="17"/>
      <c r="J1050" s="82"/>
      <c r="K1050" s="340"/>
      <c r="L1050" s="344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>
      <c r="A1051" s="10" t="s">
        <v>251</v>
      </c>
      <c r="B1051" s="226" t="s">
        <v>1</v>
      </c>
      <c r="C1051" s="10" t="s">
        <v>350</v>
      </c>
      <c r="D1051" s="14" t="str">
        <v/>
      </c>
      <c r="E1051" s="244" t="s">
        <v>354</v>
      </c>
      <c r="F1051" s="10"/>
      <c r="G1051" s="17"/>
      <c r="H1051" s="10"/>
      <c r="I1051" s="17"/>
      <c r="J1051" s="82"/>
      <c r="K1051" s="340"/>
      <c r="L1051" s="344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>
      <c r="A1052" s="10" t="s">
        <v>251</v>
      </c>
      <c r="B1052" s="226" t="s">
        <v>1</v>
      </c>
      <c r="C1052" s="10" t="s">
        <v>350</v>
      </c>
      <c r="D1052" s="14"/>
      <c r="E1052" s="244" t="s">
        <v>355</v>
      </c>
      <c r="F1052" s="10"/>
      <c r="G1052" s="17"/>
      <c r="H1052" s="10"/>
      <c r="I1052" s="17"/>
      <c r="J1052" s="82"/>
      <c r="K1052" s="340"/>
      <c r="L1052" s="344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>
      <c r="A1053" s="10" t="s">
        <v>251</v>
      </c>
      <c r="B1053" s="226" t="s">
        <v>1</v>
      </c>
      <c r="C1053" s="10" t="s">
        <v>350</v>
      </c>
      <c r="D1053" s="14"/>
      <c r="E1053" s="244"/>
      <c r="F1053" s="10"/>
      <c r="G1053" s="17"/>
      <c r="H1053" s="10"/>
      <c r="I1053" s="17"/>
      <c r="J1053" s="82"/>
      <c r="K1053" s="340"/>
      <c r="L1053" s="344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>
      <c r="A1054" s="10" t="s">
        <v>251</v>
      </c>
      <c r="B1054" s="226" t="s">
        <v>1</v>
      </c>
      <c r="C1054" s="10" t="s">
        <v>350</v>
      </c>
      <c r="D1054" s="14"/>
      <c r="E1054" s="244"/>
      <c r="F1054" s="10"/>
      <c r="G1054" s="17"/>
      <c r="H1054" s="10"/>
      <c r="I1054" s="17"/>
      <c r="J1054" s="82"/>
      <c r="K1054" s="340"/>
      <c r="L1054" s="344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>
      <c r="A1055" s="10" t="s">
        <v>251</v>
      </c>
      <c r="B1055" s="226" t="s">
        <v>1</v>
      </c>
      <c r="C1055" s="10" t="s">
        <v>350</v>
      </c>
      <c r="D1055" s="14"/>
      <c r="E1055" s="244"/>
      <c r="F1055" s="10"/>
      <c r="G1055" s="17"/>
      <c r="H1055" s="10"/>
      <c r="I1055" s="17"/>
      <c r="J1055" s="82"/>
      <c r="K1055" s="340"/>
      <c r="L1055" s="344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>
      <c r="A1056" s="10" t="s">
        <v>251</v>
      </c>
      <c r="B1056" s="226" t="s">
        <v>1</v>
      </c>
      <c r="C1056" s="10" t="s">
        <v>350</v>
      </c>
      <c r="D1056" s="14"/>
      <c r="E1056" s="244"/>
      <c r="F1056" s="10"/>
      <c r="G1056" s="17"/>
      <c r="H1056" s="10"/>
      <c r="I1056" s="17"/>
      <c r="J1056" s="82"/>
      <c r="K1056" s="340"/>
      <c r="L1056" s="344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>
      <c r="A1057" s="10" t="s">
        <v>251</v>
      </c>
      <c r="B1057" s="226" t="s">
        <v>1</v>
      </c>
      <c r="C1057" s="10" t="s">
        <v>350</v>
      </c>
      <c r="D1057" s="14"/>
      <c r="E1057" s="244"/>
      <c r="F1057" s="10"/>
      <c r="G1057" s="17"/>
      <c r="H1057" s="10"/>
      <c r="I1057" s="17"/>
      <c r="J1057" s="82"/>
      <c r="K1057" s="340"/>
      <c r="L1057" s="344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>
      <c r="A1058" s="10" t="s">
        <v>251</v>
      </c>
      <c r="B1058" s="226" t="s">
        <v>1</v>
      </c>
      <c r="C1058" s="10" t="s">
        <v>350</v>
      </c>
      <c r="D1058" s="14"/>
      <c r="E1058" s="244"/>
      <c r="F1058" s="10"/>
      <c r="G1058" s="17"/>
      <c r="H1058" s="10"/>
      <c r="I1058" s="17"/>
      <c r="J1058" s="82"/>
      <c r="K1058" s="340"/>
      <c r="L1058" s="344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>
      <c r="A1059" s="10" t="s">
        <v>251</v>
      </c>
      <c r="B1059" s="226" t="s">
        <v>1</v>
      </c>
      <c r="C1059" s="10" t="s">
        <v>350</v>
      </c>
      <c r="D1059" s="14"/>
      <c r="E1059" s="244"/>
      <c r="F1059" s="10"/>
      <c r="G1059" s="17"/>
      <c r="H1059" s="10"/>
      <c r="I1059" s="17"/>
      <c r="J1059" s="82"/>
      <c r="K1059" s="340"/>
      <c r="L1059" s="344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>
      <c r="A1060" s="10" t="s">
        <v>251</v>
      </c>
      <c r="B1060" s="226" t="s">
        <v>1</v>
      </c>
      <c r="C1060" s="10" t="s">
        <v>350</v>
      </c>
      <c r="D1060" s="14"/>
      <c r="E1060" s="244"/>
      <c r="F1060" s="10"/>
      <c r="G1060" s="17"/>
      <c r="H1060" s="10"/>
      <c r="I1060" s="17"/>
      <c r="J1060" s="82"/>
      <c r="K1060" s="340"/>
      <c r="L1060" s="344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>
      <c r="A1061" s="10" t="s">
        <v>251</v>
      </c>
      <c r="B1061" s="226" t="s">
        <v>1</v>
      </c>
      <c r="C1061" s="10" t="s">
        <v>350</v>
      </c>
      <c r="D1061" s="14"/>
      <c r="E1061" s="244"/>
      <c r="F1061" s="10"/>
      <c r="G1061" s="17"/>
      <c r="H1061" s="10"/>
      <c r="I1061" s="17"/>
      <c r="J1061" s="82"/>
      <c r="K1061" s="340"/>
      <c r="L1061" s="344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>
      <c r="A1062" s="10" t="s">
        <v>251</v>
      </c>
      <c r="B1062" s="226" t="s">
        <v>1</v>
      </c>
      <c r="C1062" s="10" t="s">
        <v>350</v>
      </c>
      <c r="D1062" s="14"/>
      <c r="E1062" s="244"/>
      <c r="F1062" s="10"/>
      <c r="G1062" s="17"/>
      <c r="H1062" s="10"/>
      <c r="I1062" s="17"/>
      <c r="J1062" s="82"/>
      <c r="K1062" s="340"/>
      <c r="L1062" s="344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>
      <c r="A1063" s="10" t="s">
        <v>251</v>
      </c>
      <c r="B1063" s="226" t="s">
        <v>1</v>
      </c>
      <c r="C1063" s="10" t="s">
        <v>350</v>
      </c>
      <c r="D1063" s="14"/>
      <c r="E1063" s="244"/>
      <c r="F1063" s="10"/>
      <c r="G1063" s="17"/>
      <c r="H1063" s="10"/>
      <c r="I1063" s="17"/>
      <c r="J1063" s="82"/>
      <c r="K1063" s="340"/>
      <c r="L1063" s="344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>
      <c r="A1064" s="10" t="s">
        <v>251</v>
      </c>
      <c r="B1064" s="226" t="s">
        <v>1</v>
      </c>
      <c r="C1064" s="10" t="s">
        <v>350</v>
      </c>
      <c r="D1064" s="14"/>
      <c r="E1064" s="244"/>
      <c r="F1064" s="10"/>
      <c r="G1064" s="17"/>
      <c r="H1064" s="10"/>
      <c r="I1064" s="17"/>
      <c r="J1064" s="82"/>
      <c r="K1064" s="340"/>
      <c r="L1064" s="344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4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>
      <c r="A1065" s="10" t="s">
        <v>251</v>
      </c>
      <c r="B1065" s="226" t="s">
        <v>1</v>
      </c>
      <c r="C1065" s="10" t="s">
        <v>350</v>
      </c>
      <c r="D1065" s="14"/>
      <c r="E1065" s="244"/>
      <c r="F1065" s="10"/>
      <c r="G1065" s="17"/>
      <c r="H1065" s="10"/>
      <c r="I1065" s="17"/>
      <c r="J1065" s="82"/>
      <c r="K1065" s="340"/>
      <c r="L1065" s="344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>
      <c r="A1066" s="10" t="s">
        <v>251</v>
      </c>
      <c r="B1066" s="226" t="s">
        <v>1</v>
      </c>
      <c r="C1066" s="10" t="s">
        <v>350</v>
      </c>
      <c r="D1066" s="14"/>
      <c r="E1066" s="244"/>
      <c r="F1066" s="10"/>
      <c r="G1066" s="17"/>
      <c r="H1066" s="10"/>
      <c r="I1066" s="17"/>
      <c r="J1066" s="82"/>
      <c r="K1066" s="340"/>
      <c r="L1066" s="344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>
      <c r="A1067" s="10" t="s">
        <v>251</v>
      </c>
      <c r="B1067" s="226" t="s">
        <v>1</v>
      </c>
      <c r="C1067" s="10" t="s">
        <v>350</v>
      </c>
      <c r="D1067" s="14"/>
      <c r="E1067" s="244"/>
      <c r="F1067" s="10"/>
      <c r="G1067" s="17"/>
      <c r="H1067" s="10"/>
      <c r="I1067" s="17"/>
      <c r="J1067" s="82"/>
      <c r="K1067" s="340"/>
      <c r="L1067" s="344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8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>
      <c r="A1068" s="10" t="s">
        <v>251</v>
      </c>
      <c r="B1068" s="226" t="s">
        <v>1</v>
      </c>
      <c r="C1068" s="10" t="s">
        <v>350</v>
      </c>
      <c r="D1068" s="14"/>
      <c r="E1068" s="244"/>
      <c r="F1068" s="11"/>
      <c r="G1068" s="17"/>
      <c r="H1068" s="10"/>
      <c r="I1068" s="17"/>
      <c r="J1068" s="82"/>
      <c r="K1068" s="340"/>
      <c r="L1068" s="344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>
      <c r="A1069" s="10" t="s">
        <v>251</v>
      </c>
      <c r="B1069" s="226" t="s">
        <v>1</v>
      </c>
      <c r="C1069" s="10" t="s">
        <v>350</v>
      </c>
      <c r="D1069" s="14"/>
      <c r="E1069" s="244"/>
      <c r="F1069" s="10"/>
      <c r="G1069" s="17"/>
      <c r="H1069" s="10"/>
      <c r="I1069" s="17"/>
      <c r="J1069" s="82"/>
      <c r="K1069" s="340"/>
      <c r="L1069" s="344"/>
      <c r="M1069" s="10"/>
      <c r="N1069" s="10" t="s">
        <v>121</v>
      </c>
      <c r="O1069" s="22" t="str">
        <f>$O$2</f>
        <v/>
      </c>
      <c r="P1069" s="21" t="str">
        <f>Enginuity!$A$19</f>
        <v>P/C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>
      <c r="A1070" s="80"/>
      <c r="B1070" s="225"/>
      <c r="C1070" s="80"/>
      <c r="D1070" s="91"/>
      <c r="E1070" s="234"/>
      <c r="F1070" s="80"/>
      <c r="G1070" s="80"/>
      <c r="H1070" s="80"/>
      <c r="I1070" s="80"/>
      <c r="J1070" s="80"/>
      <c r="K1070" s="339" t="s">
        <v>96</v>
      </c>
      <c r="L1070" s="343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>
      <c r="A1071" s="10" t="s">
        <v>253</v>
      </c>
      <c r="B1071" s="226" t="s">
        <v>372</v>
      </c>
      <c r="C1071" s="10" t="s">
        <v>373</v>
      </c>
      <c r="D1071" s="14" t="str">
        <f>P1071</f>
        <v>Below 30" x 84" ecobonz 2.5mm Glossy / VACP 800 Series</v>
      </c>
      <c r="E1071" s="245" t="s">
        <v>375</v>
      </c>
      <c r="F1071" s="112" t="s">
        <v>382</v>
      </c>
      <c r="G1071" s="17" t="s">
        <v>381</v>
      </c>
      <c r="H1071" s="10"/>
      <c r="I1071" s="17"/>
      <c r="J1071" s="82"/>
      <c r="K1071" s="341">
        <v>0.171594</v>
      </c>
      <c r="L1071" s="344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>
      <c r="A1072" s="10" t="s">
        <v>253</v>
      </c>
      <c r="B1072" s="226" t="s">
        <v>372</v>
      </c>
      <c r="C1072" s="10" t="s">
        <v>373</v>
      </c>
      <c r="D1072" s="14" t="str">
        <f t="shared" ref="D1072:D1078" si="14">P1072</f>
        <v>Below 30" x 84" ecoscreen 2.5mm</v>
      </c>
      <c r="E1072" s="245" t="s">
        <v>376</v>
      </c>
      <c r="F1072" s="112" t="s">
        <v>383</v>
      </c>
      <c r="G1072" s="17"/>
      <c r="H1072" s="10"/>
      <c r="I1072" s="17"/>
      <c r="J1072" s="82"/>
      <c r="K1072" s="340"/>
      <c r="L1072" s="344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>
      <c r="A1073" s="10" t="s">
        <v>253</v>
      </c>
      <c r="B1073" s="226" t="s">
        <v>372</v>
      </c>
      <c r="C1073" s="10" t="s">
        <v>373</v>
      </c>
      <c r="D1073" s="14" t="str">
        <f t="shared" si="14"/>
        <v>Below 30" x 84" ecopoly 2.5mm</v>
      </c>
      <c r="E1073" s="155" t="s">
        <v>377</v>
      </c>
      <c r="F1073" s="14" t="s">
        <v>384</v>
      </c>
      <c r="G1073" s="17"/>
      <c r="H1073" s="10"/>
      <c r="I1073" s="17"/>
      <c r="J1073" s="82"/>
      <c r="K1073" s="340"/>
      <c r="L1073" s="344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>
      <c r="A1074" s="10" t="s">
        <v>253</v>
      </c>
      <c r="B1074" s="226" t="s">
        <v>372</v>
      </c>
      <c r="C1074" s="10" t="s">
        <v>373</v>
      </c>
      <c r="D1074" s="14" t="str">
        <f t="shared" si="14"/>
        <v>Below 30" x 84" Aerolite</v>
      </c>
      <c r="E1074" s="155" t="s">
        <v>378</v>
      </c>
      <c r="F1074" s="14"/>
      <c r="G1074" s="17"/>
      <c r="H1074" s="10"/>
      <c r="I1074" s="17"/>
      <c r="J1074" s="82"/>
      <c r="K1074" s="340"/>
      <c r="L1074" s="344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>
      <c r="A1075" s="10" t="s">
        <v>253</v>
      </c>
      <c r="B1075" s="226" t="s">
        <v>372</v>
      </c>
      <c r="C1075" s="10" t="s">
        <v>373</v>
      </c>
      <c r="D1075" s="14" t="str">
        <f t="shared" si="14"/>
        <v>1. Below 30" x 84" Composite</v>
      </c>
      <c r="E1075" s="155" t="s">
        <v>379</v>
      </c>
      <c r="F1075" s="14"/>
      <c r="G1075" s="17"/>
      <c r="H1075" s="10"/>
      <c r="I1075" s="17"/>
      <c r="J1075" s="82"/>
      <c r="K1075" s="340"/>
      <c r="L1075" s="344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>
      <c r="A1076" s="10" t="s">
        <v>253</v>
      </c>
      <c r="B1076" s="226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5"/>
      <c r="F1076" s="14"/>
      <c r="G1076" s="17"/>
      <c r="H1076" s="10"/>
      <c r="I1076" s="17"/>
      <c r="J1076" s="82"/>
      <c r="K1076" s="340"/>
      <c r="L1076" s="344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>
      <c r="A1077" s="10" t="s">
        <v>253</v>
      </c>
      <c r="B1077" s="226" t="s">
        <v>372</v>
      </c>
      <c r="C1077" s="10" t="s">
        <v>373</v>
      </c>
      <c r="D1077" s="14" t="str">
        <f t="shared" si="14"/>
        <v>Below 30" x 84" N.Clear Glass</v>
      </c>
      <c r="E1077" s="155"/>
      <c r="F1077" s="14"/>
      <c r="G1077" s="17"/>
      <c r="H1077" s="10"/>
      <c r="I1077" s="17"/>
      <c r="J1077" s="82"/>
      <c r="K1077" s="340"/>
      <c r="L1077" s="344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>
      <c r="A1078" s="10" t="s">
        <v>253</v>
      </c>
      <c r="B1078" s="226" t="s">
        <v>372</v>
      </c>
      <c r="C1078" s="10" t="s">
        <v>373</v>
      </c>
      <c r="D1078" s="14" t="str">
        <f t="shared" si="14"/>
        <v>Below 30" x 84" Tempered Glass</v>
      </c>
      <c r="E1078" s="155"/>
      <c r="F1078" s="14"/>
      <c r="G1078" s="17"/>
      <c r="H1078" s="10"/>
      <c r="I1078" s="17"/>
      <c r="J1078" s="82"/>
      <c r="K1078" s="340"/>
      <c r="L1078" s="344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>
      <c r="A1079" s="10" t="s">
        <v>253</v>
      </c>
      <c r="B1079" s="226" t="s">
        <v>372</v>
      </c>
      <c r="C1079" s="10" t="s">
        <v>373</v>
      </c>
      <c r="D1079" s="14" t="str">
        <f>P1079</f>
        <v>Below 30" x 84" Full Louvers</v>
      </c>
      <c r="E1079" s="155"/>
      <c r="F1079" s="14"/>
      <c r="G1079" s="17"/>
      <c r="H1079" s="10"/>
      <c r="I1079" s="17"/>
      <c r="J1079" s="82"/>
      <c r="K1079" s="340"/>
      <c r="L1079" s="344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>
      <c r="A1080" s="10" t="s">
        <v>253</v>
      </c>
      <c r="B1080" s="226" t="s">
        <v>372</v>
      </c>
      <c r="C1080" s="10" t="s">
        <v>373</v>
      </c>
      <c r="D1080" s="107"/>
      <c r="E1080" s="155"/>
      <c r="F1080" s="14"/>
      <c r="G1080" s="17"/>
      <c r="H1080" s="10"/>
      <c r="I1080" s="17"/>
      <c r="J1080" s="82"/>
      <c r="K1080" s="341"/>
      <c r="L1080" s="344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>
      <c r="A1081" s="10" t="s">
        <v>253</v>
      </c>
      <c r="B1081" s="226" t="s">
        <v>372</v>
      </c>
      <c r="C1081" s="10" t="s">
        <v>373</v>
      </c>
      <c r="D1081" s="14"/>
      <c r="E1081" s="155"/>
      <c r="F1081" s="14"/>
      <c r="G1081" s="17"/>
      <c r="H1081" s="10"/>
      <c r="I1081" s="17"/>
      <c r="J1081" s="82"/>
      <c r="K1081" s="341"/>
      <c r="L1081" s="344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>
      <c r="A1082" s="10" t="s">
        <v>253</v>
      </c>
      <c r="B1082" s="226" t="s">
        <v>372</v>
      </c>
      <c r="C1082" s="10" t="s">
        <v>373</v>
      </c>
      <c r="D1082" s="14"/>
      <c r="E1082" s="155"/>
      <c r="F1082" s="14"/>
      <c r="G1082" s="17"/>
      <c r="H1082" s="10"/>
      <c r="I1082" s="17"/>
      <c r="J1082" s="82"/>
      <c r="K1082" s="340"/>
      <c r="L1082" s="344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>
      <c r="A1083" s="10" t="s">
        <v>253</v>
      </c>
      <c r="B1083" s="226" t="s">
        <v>372</v>
      </c>
      <c r="C1083" s="10" t="s">
        <v>373</v>
      </c>
      <c r="D1083" s="14"/>
      <c r="E1083" s="155"/>
      <c r="F1083" s="14"/>
      <c r="G1083" s="17"/>
      <c r="H1083" s="10"/>
      <c r="I1083" s="17"/>
      <c r="J1083" s="82"/>
      <c r="K1083" s="340"/>
      <c r="L1083" s="344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4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>
      <c r="A1084" s="10" t="s">
        <v>253</v>
      </c>
      <c r="B1084" s="226" t="s">
        <v>372</v>
      </c>
      <c r="C1084" s="10" t="s">
        <v>373</v>
      </c>
      <c r="D1084" s="14"/>
      <c r="E1084" s="155"/>
      <c r="F1084" s="14"/>
      <c r="G1084" s="17"/>
      <c r="H1084" s="10"/>
      <c r="I1084" s="17"/>
      <c r="J1084" s="82"/>
      <c r="K1084" s="340"/>
      <c r="L1084" s="344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>
      <c r="A1085" s="10" t="s">
        <v>253</v>
      </c>
      <c r="B1085" s="226" t="s">
        <v>372</v>
      </c>
      <c r="C1085" s="10" t="s">
        <v>373</v>
      </c>
      <c r="D1085" s="14"/>
      <c r="E1085" s="155"/>
      <c r="F1085" s="14"/>
      <c r="G1085" s="17"/>
      <c r="H1085" s="10"/>
      <c r="I1085" s="17"/>
      <c r="J1085" s="82"/>
      <c r="K1085" s="340"/>
      <c r="L1085" s="344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Breezway 102mm Glass Infill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>
      <c r="A1086" s="10" t="s">
        <v>253</v>
      </c>
      <c r="B1086" s="226" t="s">
        <v>372</v>
      </c>
      <c r="C1086" s="10" t="s">
        <v>373</v>
      </c>
      <c r="D1086" s="14"/>
      <c r="E1086" s="155"/>
      <c r="F1086" s="14"/>
      <c r="G1086" s="17"/>
      <c r="H1086" s="10"/>
      <c r="I1086" s="17"/>
      <c r="J1086" s="82"/>
      <c r="K1086" s="340"/>
      <c r="L1086" s="344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>
      <c r="A1087" s="17"/>
      <c r="B1087" s="227"/>
      <c r="C1087" s="17"/>
      <c r="D1087" s="18"/>
      <c r="E1087" s="235"/>
      <c r="F1087" s="18"/>
      <c r="G1087" s="17"/>
      <c r="H1087" s="17"/>
      <c r="I1087" s="17"/>
      <c r="J1087" s="83"/>
      <c r="K1087" s="340"/>
      <c r="L1087" s="344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>
      <c r="A1088" s="10" t="s">
        <v>253</v>
      </c>
      <c r="B1088" s="226" t="s">
        <v>372</v>
      </c>
      <c r="C1088" s="10" t="s">
        <v>366</v>
      </c>
      <c r="D1088" s="14" t="str">
        <f>P1088</f>
        <v>Below 30" x 84" ecobonz 2.5mm Glossy / VACP 800 Series</v>
      </c>
      <c r="E1088" s="245" t="s">
        <v>375</v>
      </c>
      <c r="F1088" s="112" t="s">
        <v>382</v>
      </c>
      <c r="G1088" s="17" t="s">
        <v>381</v>
      </c>
      <c r="H1088" s="10"/>
      <c r="I1088" s="17"/>
      <c r="J1088" s="82"/>
      <c r="K1088" s="341">
        <v>0.26055600000000001</v>
      </c>
      <c r="L1088" s="344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>
      <c r="A1089" s="10" t="s">
        <v>253</v>
      </c>
      <c r="B1089" s="226" t="s">
        <v>372</v>
      </c>
      <c r="C1089" s="10" t="s">
        <v>366</v>
      </c>
      <c r="D1089" s="14" t="str">
        <f t="shared" ref="D1089:D1096" si="16">P1089</f>
        <v>Below 30" x 84" ecoscreen 2.5mm</v>
      </c>
      <c r="E1089" s="245" t="s">
        <v>376</v>
      </c>
      <c r="F1089" s="112" t="s">
        <v>383</v>
      </c>
      <c r="G1089" s="17"/>
      <c r="H1089" s="10"/>
      <c r="I1089" s="17"/>
      <c r="J1089" s="82"/>
      <c r="K1089" s="340"/>
      <c r="L1089" s="344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>
      <c r="A1090" s="10" t="s">
        <v>253</v>
      </c>
      <c r="B1090" s="226" t="s">
        <v>372</v>
      </c>
      <c r="C1090" s="10" t="s">
        <v>366</v>
      </c>
      <c r="D1090" s="14" t="str">
        <f t="shared" si="16"/>
        <v>Below 30" x 84" ecopoly 2.5mm</v>
      </c>
      <c r="E1090" s="155" t="s">
        <v>377</v>
      </c>
      <c r="F1090" s="14" t="s">
        <v>384</v>
      </c>
      <c r="G1090" s="17"/>
      <c r="H1090" s="10"/>
      <c r="I1090" s="17"/>
      <c r="J1090" s="82"/>
      <c r="K1090" s="340"/>
      <c r="L1090" s="344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>
      <c r="A1091" s="10" t="s">
        <v>253</v>
      </c>
      <c r="B1091" s="226" t="s">
        <v>372</v>
      </c>
      <c r="C1091" s="10" t="s">
        <v>366</v>
      </c>
      <c r="D1091" s="14" t="str">
        <f t="shared" si="16"/>
        <v>Below 30" x 84" Aerolite</v>
      </c>
      <c r="E1091" s="155" t="s">
        <v>378</v>
      </c>
      <c r="F1091" s="14"/>
      <c r="G1091" s="17"/>
      <c r="H1091" s="10"/>
      <c r="I1091" s="17"/>
      <c r="J1091" s="82"/>
      <c r="K1091" s="340"/>
      <c r="L1091" s="344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>
      <c r="A1092" s="10" t="s">
        <v>253</v>
      </c>
      <c r="B1092" s="226" t="s">
        <v>372</v>
      </c>
      <c r="C1092" s="10" t="s">
        <v>366</v>
      </c>
      <c r="D1092" s="14" t="str">
        <f t="shared" si="16"/>
        <v>1. Below 30" x 84" Composite</v>
      </c>
      <c r="E1092" s="155" t="s">
        <v>379</v>
      </c>
      <c r="F1092" s="14"/>
      <c r="G1092" s="17"/>
      <c r="H1092" s="10"/>
      <c r="I1092" s="17"/>
      <c r="J1092" s="82"/>
      <c r="K1092" s="340"/>
      <c r="L1092" s="344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>
      <c r="A1093" s="10" t="s">
        <v>253</v>
      </c>
      <c r="B1093" s="226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5"/>
      <c r="F1093" s="14"/>
      <c r="G1093" s="17"/>
      <c r="H1093" s="10"/>
      <c r="I1093" s="17"/>
      <c r="J1093" s="82"/>
      <c r="K1093" s="340"/>
      <c r="L1093" s="344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>
      <c r="A1094" s="10" t="s">
        <v>253</v>
      </c>
      <c r="B1094" s="226" t="s">
        <v>372</v>
      </c>
      <c r="C1094" s="10" t="s">
        <v>366</v>
      </c>
      <c r="D1094" s="14" t="str">
        <f t="shared" si="16"/>
        <v>Below 30" x 84" N.Clear Glass</v>
      </c>
      <c r="E1094" s="155"/>
      <c r="F1094" s="14"/>
      <c r="G1094" s="17"/>
      <c r="H1094" s="10"/>
      <c r="I1094" s="17"/>
      <c r="J1094" s="82"/>
      <c r="K1094" s="340"/>
      <c r="L1094" s="344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>
      <c r="A1095" s="10" t="s">
        <v>253</v>
      </c>
      <c r="B1095" s="226" t="s">
        <v>372</v>
      </c>
      <c r="C1095" s="10" t="s">
        <v>366</v>
      </c>
      <c r="D1095" s="14" t="str">
        <f t="shared" si="16"/>
        <v>Below 30" x 84" Tempered Glass</v>
      </c>
      <c r="E1095" s="155"/>
      <c r="F1095" s="14"/>
      <c r="G1095" s="17"/>
      <c r="H1095" s="10"/>
      <c r="I1095" s="17"/>
      <c r="J1095" s="82"/>
      <c r="K1095" s="340"/>
      <c r="L1095" s="344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>
      <c r="A1096" s="10" t="s">
        <v>253</v>
      </c>
      <c r="B1096" s="226" t="s">
        <v>372</v>
      </c>
      <c r="C1096" s="10" t="s">
        <v>366</v>
      </c>
      <c r="D1096" s="14" t="str">
        <f t="shared" si="16"/>
        <v>Below 30" x 84" Full Louvers</v>
      </c>
      <c r="E1096" s="155"/>
      <c r="F1096" s="14"/>
      <c r="G1096" s="17"/>
      <c r="H1096" s="10"/>
      <c r="I1096" s="17"/>
      <c r="J1096" s="82"/>
      <c r="K1096" s="340"/>
      <c r="L1096" s="344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>
      <c r="A1097" s="10" t="s">
        <v>253</v>
      </c>
      <c r="B1097" s="226" t="s">
        <v>372</v>
      </c>
      <c r="C1097" s="10" t="s">
        <v>366</v>
      </c>
      <c r="D1097" s="107"/>
      <c r="E1097" s="155"/>
      <c r="F1097" s="10"/>
      <c r="G1097" s="17"/>
      <c r="H1097" s="10"/>
      <c r="I1097" s="17"/>
      <c r="J1097" s="82"/>
      <c r="K1097" s="341"/>
      <c r="L1097" s="344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>
      <c r="A1098" s="10" t="s">
        <v>253</v>
      </c>
      <c r="B1098" s="226" t="s">
        <v>372</v>
      </c>
      <c r="C1098" s="10" t="s">
        <v>366</v>
      </c>
      <c r="D1098" s="107"/>
      <c r="E1098" s="155"/>
      <c r="F1098" s="14"/>
      <c r="G1098" s="17"/>
      <c r="H1098" s="10"/>
      <c r="I1098" s="17"/>
      <c r="J1098" s="82"/>
      <c r="K1098" s="341"/>
      <c r="L1098" s="344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>
      <c r="A1099" s="10" t="s">
        <v>253</v>
      </c>
      <c r="B1099" s="226" t="s">
        <v>372</v>
      </c>
      <c r="C1099" s="10" t="s">
        <v>366</v>
      </c>
      <c r="D1099" s="14"/>
      <c r="E1099" s="155"/>
      <c r="F1099" s="14"/>
      <c r="G1099" s="17"/>
      <c r="H1099" s="10"/>
      <c r="I1099" s="17"/>
      <c r="J1099" s="82"/>
      <c r="K1099" s="341"/>
      <c r="L1099" s="344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>
      <c r="A1100" s="10" t="s">
        <v>253</v>
      </c>
      <c r="B1100" s="226" t="s">
        <v>372</v>
      </c>
      <c r="C1100" s="10" t="s">
        <v>366</v>
      </c>
      <c r="D1100" s="14"/>
      <c r="E1100" s="155"/>
      <c r="F1100" s="14"/>
      <c r="G1100" s="17"/>
      <c r="H1100" s="10"/>
      <c r="I1100" s="17"/>
      <c r="J1100" s="82"/>
      <c r="K1100" s="340"/>
      <c r="L1100" s="344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4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4"/>
      <c r="BI1100" s="153"/>
    </row>
    <row r="1101" spans="1:61">
      <c r="A1101" s="10" t="s">
        <v>253</v>
      </c>
      <c r="B1101" s="226" t="s">
        <v>372</v>
      </c>
      <c r="C1101" s="10" t="s">
        <v>366</v>
      </c>
      <c r="D1101" s="14"/>
      <c r="E1101" s="155"/>
      <c r="F1101" s="14"/>
      <c r="G1101" s="17"/>
      <c r="H1101" s="10"/>
      <c r="I1101" s="17"/>
      <c r="J1101" s="82"/>
      <c r="K1101" s="340"/>
      <c r="L1101" s="344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>
      <c r="A1102" s="10" t="s">
        <v>253</v>
      </c>
      <c r="B1102" s="226" t="s">
        <v>372</v>
      </c>
      <c r="C1102" s="10" t="s">
        <v>366</v>
      </c>
      <c r="D1102" s="14"/>
      <c r="E1102" s="155"/>
      <c r="F1102" s="14"/>
      <c r="G1102" s="17"/>
      <c r="H1102" s="10"/>
      <c r="I1102" s="17"/>
      <c r="J1102" s="82"/>
      <c r="K1102" s="340"/>
      <c r="L1102" s="344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Breezway 102mm Glass Infill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>
      <c r="A1103" s="10" t="s">
        <v>253</v>
      </c>
      <c r="B1103" s="226" t="s">
        <v>372</v>
      </c>
      <c r="C1103" s="10" t="s">
        <v>366</v>
      </c>
      <c r="D1103" s="14"/>
      <c r="E1103" s="155"/>
      <c r="F1103" s="14"/>
      <c r="G1103" s="17"/>
      <c r="H1103" s="10"/>
      <c r="I1103" s="17"/>
      <c r="J1103" s="82"/>
      <c r="K1103" s="340"/>
      <c r="L1103" s="344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>
      <c r="A1104" s="17"/>
      <c r="B1104" s="227"/>
      <c r="C1104" s="17"/>
      <c r="D1104" s="18"/>
      <c r="E1104" s="235"/>
      <c r="F1104" s="18"/>
      <c r="G1104" s="17"/>
      <c r="H1104" s="17"/>
      <c r="I1104" s="17"/>
      <c r="J1104" s="83"/>
      <c r="K1104" s="340"/>
      <c r="L1104" s="344"/>
      <c r="M1104" s="89"/>
      <c r="N1104" s="17"/>
      <c r="O1104" s="25"/>
      <c r="P1104" s="119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>
      <c r="A1105" s="10" t="s">
        <v>253</v>
      </c>
      <c r="B1105" s="226" t="s">
        <v>372</v>
      </c>
      <c r="C1105" s="10" t="s">
        <v>402</v>
      </c>
      <c r="D1105" s="14" t="str">
        <f>P1105</f>
        <v>Below 30" x 84" ecobonz 2.5mm Glossy / VACP 800 Series</v>
      </c>
      <c r="E1105" s="245" t="s">
        <v>375</v>
      </c>
      <c r="F1105" s="112" t="s">
        <v>382</v>
      </c>
      <c r="G1105" s="17" t="s">
        <v>381</v>
      </c>
      <c r="H1105" s="10"/>
      <c r="I1105" s="17"/>
      <c r="J1105" s="82"/>
      <c r="K1105" s="341">
        <v>0.22795599999999999</v>
      </c>
      <c r="L1105" s="344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>
      <c r="A1106" s="10" t="s">
        <v>253</v>
      </c>
      <c r="B1106" s="226" t="s">
        <v>372</v>
      </c>
      <c r="C1106" s="10" t="s">
        <v>402</v>
      </c>
      <c r="D1106" s="14" t="str">
        <f t="shared" ref="D1106:D1113" si="17">P1106</f>
        <v>Below 30" x 84" ecoscreen 2.5mm</v>
      </c>
      <c r="E1106" s="245" t="s">
        <v>376</v>
      </c>
      <c r="F1106" s="112" t="s">
        <v>383</v>
      </c>
      <c r="G1106" s="17"/>
      <c r="H1106" s="10"/>
      <c r="I1106" s="17"/>
      <c r="J1106" s="82"/>
      <c r="K1106" s="340"/>
      <c r="L1106" s="344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>
      <c r="A1107" s="10" t="s">
        <v>253</v>
      </c>
      <c r="B1107" s="226" t="s">
        <v>372</v>
      </c>
      <c r="C1107" s="10" t="s">
        <v>402</v>
      </c>
      <c r="D1107" s="14" t="str">
        <f t="shared" si="17"/>
        <v>Below 30" x 84" ecopoly 2.5mm</v>
      </c>
      <c r="E1107" s="155" t="s">
        <v>377</v>
      </c>
      <c r="F1107" s="14" t="s">
        <v>384</v>
      </c>
      <c r="G1107" s="17"/>
      <c r="H1107" s="10"/>
      <c r="I1107" s="17"/>
      <c r="J1107" s="82"/>
      <c r="K1107" s="340"/>
      <c r="L1107" s="344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>
      <c r="A1108" s="10" t="s">
        <v>253</v>
      </c>
      <c r="B1108" s="226" t="s">
        <v>372</v>
      </c>
      <c r="C1108" s="10" t="s">
        <v>402</v>
      </c>
      <c r="D1108" s="14" t="str">
        <f t="shared" si="17"/>
        <v>Below 30" x 84" Aerolite</v>
      </c>
      <c r="E1108" s="155" t="s">
        <v>378</v>
      </c>
      <c r="F1108" s="14"/>
      <c r="G1108" s="17"/>
      <c r="H1108" s="10"/>
      <c r="I1108" s="17"/>
      <c r="J1108" s="82"/>
      <c r="K1108" s="340"/>
      <c r="L1108" s="344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>
      <c r="A1109" s="10" t="s">
        <v>253</v>
      </c>
      <c r="B1109" s="226" t="s">
        <v>372</v>
      </c>
      <c r="C1109" s="10" t="s">
        <v>402</v>
      </c>
      <c r="D1109" s="14" t="str">
        <f t="shared" si="17"/>
        <v>1. Below 30" x 84" Composite</v>
      </c>
      <c r="E1109" s="155" t="s">
        <v>379</v>
      </c>
      <c r="F1109" s="14"/>
      <c r="G1109" s="17"/>
      <c r="H1109" s="10"/>
      <c r="I1109" s="17"/>
      <c r="J1109" s="82"/>
      <c r="K1109" s="340"/>
      <c r="L1109" s="344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>
      <c r="A1110" s="10" t="s">
        <v>253</v>
      </c>
      <c r="B1110" s="226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5"/>
      <c r="F1110" s="14"/>
      <c r="G1110" s="17"/>
      <c r="H1110" s="10"/>
      <c r="I1110" s="17"/>
      <c r="J1110" s="82"/>
      <c r="K1110" s="340"/>
      <c r="L1110" s="344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>
      <c r="A1111" s="10" t="s">
        <v>253</v>
      </c>
      <c r="B1111" s="226" t="s">
        <v>372</v>
      </c>
      <c r="C1111" s="10" t="s">
        <v>402</v>
      </c>
      <c r="D1111" s="14" t="str">
        <f t="shared" si="17"/>
        <v>Below 30" x 84" N.Clear Glass</v>
      </c>
      <c r="E1111" s="155"/>
      <c r="F1111" s="14"/>
      <c r="G1111" s="17"/>
      <c r="H1111" s="10"/>
      <c r="I1111" s="17"/>
      <c r="J1111" s="82"/>
      <c r="K1111" s="340"/>
      <c r="L1111" s="344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>
      <c r="A1112" s="10" t="s">
        <v>253</v>
      </c>
      <c r="B1112" s="226" t="s">
        <v>372</v>
      </c>
      <c r="C1112" s="10" t="s">
        <v>402</v>
      </c>
      <c r="D1112" s="14" t="str">
        <f t="shared" si="17"/>
        <v>Below 30" x 84" Tempered Glass</v>
      </c>
      <c r="E1112" s="155"/>
      <c r="F1112" s="14"/>
      <c r="G1112" s="17"/>
      <c r="H1112" s="10"/>
      <c r="I1112" s="17"/>
      <c r="J1112" s="82"/>
      <c r="K1112" s="340"/>
      <c r="L1112" s="344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>
      <c r="A1113" s="10" t="s">
        <v>253</v>
      </c>
      <c r="B1113" s="226" t="s">
        <v>372</v>
      </c>
      <c r="C1113" s="10" t="s">
        <v>402</v>
      </c>
      <c r="D1113" s="14" t="str">
        <f t="shared" si="17"/>
        <v>Below 30" x 84" Full Louvers</v>
      </c>
      <c r="E1113" s="155"/>
      <c r="F1113" s="14"/>
      <c r="G1113" s="17"/>
      <c r="H1113" s="10"/>
      <c r="I1113" s="17"/>
      <c r="J1113" s="82"/>
      <c r="K1113" s="340"/>
      <c r="L1113" s="344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>
      <c r="A1114" s="10" t="s">
        <v>253</v>
      </c>
      <c r="B1114" s="226" t="s">
        <v>372</v>
      </c>
      <c r="C1114" s="10" t="s">
        <v>402</v>
      </c>
      <c r="D1114" s="107"/>
      <c r="E1114" s="155"/>
      <c r="F1114" s="14"/>
      <c r="G1114" s="17"/>
      <c r="H1114" s="10"/>
      <c r="I1114" s="17"/>
      <c r="J1114" s="82"/>
      <c r="K1114" s="341"/>
      <c r="L1114" s="344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>
      <c r="A1115" s="10" t="s">
        <v>253</v>
      </c>
      <c r="B1115" s="226" t="s">
        <v>372</v>
      </c>
      <c r="C1115" s="10" t="s">
        <v>402</v>
      </c>
      <c r="D1115" s="14"/>
      <c r="E1115" s="155"/>
      <c r="F1115" s="14"/>
      <c r="G1115" s="17"/>
      <c r="H1115" s="10"/>
      <c r="I1115" s="17"/>
      <c r="J1115" s="82"/>
      <c r="K1115" s="341"/>
      <c r="L1115" s="344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>
      <c r="A1116" s="10" t="s">
        <v>253</v>
      </c>
      <c r="B1116" s="226" t="s">
        <v>372</v>
      </c>
      <c r="C1116" s="10" t="s">
        <v>402</v>
      </c>
      <c r="D1116" s="14"/>
      <c r="E1116" s="155"/>
      <c r="F1116" s="14"/>
      <c r="G1116" s="17"/>
      <c r="H1116" s="10"/>
      <c r="I1116" s="17"/>
      <c r="J1116" s="82"/>
      <c r="K1116" s="340"/>
      <c r="L1116" s="344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>
      <c r="A1117" s="10" t="s">
        <v>253</v>
      </c>
      <c r="B1117" s="226" t="s">
        <v>372</v>
      </c>
      <c r="C1117" s="10" t="s">
        <v>402</v>
      </c>
      <c r="D1117" s="14"/>
      <c r="E1117" s="155"/>
      <c r="F1117" s="14"/>
      <c r="G1117" s="17"/>
      <c r="H1117" s="10"/>
      <c r="I1117" s="17"/>
      <c r="J1117" s="82"/>
      <c r="K1117" s="340"/>
      <c r="L1117" s="344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4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>
      <c r="A1118" s="10" t="s">
        <v>253</v>
      </c>
      <c r="B1118" s="226" t="s">
        <v>372</v>
      </c>
      <c r="C1118" s="10" t="s">
        <v>402</v>
      </c>
      <c r="D1118" s="14"/>
      <c r="E1118" s="155"/>
      <c r="F1118" s="14"/>
      <c r="G1118" s="17"/>
      <c r="H1118" s="10"/>
      <c r="I1118" s="17"/>
      <c r="J1118" s="82"/>
      <c r="K1118" s="340"/>
      <c r="L1118" s="344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>
      <c r="A1119" s="10" t="s">
        <v>253</v>
      </c>
      <c r="B1119" s="226" t="s">
        <v>372</v>
      </c>
      <c r="C1119" s="10" t="s">
        <v>402</v>
      </c>
      <c r="D1119" s="14"/>
      <c r="E1119" s="155"/>
      <c r="F1119" s="14"/>
      <c r="G1119" s="17"/>
      <c r="H1119" s="10"/>
      <c r="I1119" s="17"/>
      <c r="J1119" s="82"/>
      <c r="K1119" s="340"/>
      <c r="L1119" s="344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Breezway 102mm Glass Infill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>
      <c r="A1120" s="10" t="s">
        <v>253</v>
      </c>
      <c r="B1120" s="226" t="s">
        <v>372</v>
      </c>
      <c r="C1120" s="10" t="s">
        <v>402</v>
      </c>
      <c r="D1120" s="14"/>
      <c r="E1120" s="155"/>
      <c r="F1120" s="14"/>
      <c r="G1120" s="17"/>
      <c r="H1120" s="10"/>
      <c r="I1120" s="17"/>
      <c r="J1120" s="82"/>
      <c r="K1120" s="340"/>
      <c r="L1120" s="344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>
      <c r="A1121" s="17"/>
      <c r="B1121" s="227"/>
      <c r="C1121" s="17"/>
      <c r="D1121" s="18"/>
      <c r="E1121" s="235"/>
      <c r="F1121" s="18"/>
      <c r="G1121" s="17"/>
      <c r="H1121" s="17"/>
      <c r="I1121" s="17"/>
      <c r="J1121" s="83"/>
      <c r="K1121" s="340"/>
      <c r="L1121" s="344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>
      <c r="A1122" s="10" t="s">
        <v>254</v>
      </c>
      <c r="B1122" s="226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5" t="s">
        <v>396</v>
      </c>
      <c r="F1122" s="11"/>
      <c r="G1122" s="17"/>
      <c r="H1122" s="10"/>
      <c r="I1122" s="17"/>
      <c r="J1122" s="82"/>
      <c r="K1122" s="341">
        <v>0.521208</v>
      </c>
      <c r="L1122" s="344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32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>
      <c r="A1123" s="10" t="s">
        <v>254</v>
      </c>
      <c r="B1123" s="226" t="s">
        <v>1668</v>
      </c>
      <c r="C1123" s="10" t="s">
        <v>107</v>
      </c>
      <c r="D1123" s="14" t="str">
        <v>Black Aluminium Mesh 1.6mm</v>
      </c>
      <c r="E1123" s="155" t="s">
        <v>397</v>
      </c>
      <c r="F1123" s="11"/>
      <c r="G1123" s="17"/>
      <c r="H1123" s="10"/>
      <c r="I1123" s="17"/>
      <c r="J1123" s="82"/>
      <c r="K1123" s="340"/>
      <c r="L1123" s="344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80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>
      <c r="A1124" s="10" t="s">
        <v>254</v>
      </c>
      <c r="B1124" s="226" t="s">
        <v>1668</v>
      </c>
      <c r="C1124" s="10" t="s">
        <v>107</v>
      </c>
      <c r="D1124" s="14" t="str">
        <v>Black Aluminium Mesh 1.8mm</v>
      </c>
      <c r="E1124" s="155" t="s">
        <v>398</v>
      </c>
      <c r="F1124" s="10"/>
      <c r="G1124" s="17"/>
      <c r="H1124" s="10"/>
      <c r="I1124" s="17"/>
      <c r="J1124" s="82"/>
      <c r="K1124" s="340"/>
      <c r="L1124" s="344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>
      <c r="A1125" s="10" t="s">
        <v>254</v>
      </c>
      <c r="B1125" s="226" t="s">
        <v>1668</v>
      </c>
      <c r="C1125" s="10" t="s">
        <v>107</v>
      </c>
      <c r="D1125" s="14" t="str">
        <v>Black Stainless Steel Mesh 1.0mm</v>
      </c>
      <c r="E1125" s="155" t="s">
        <v>399</v>
      </c>
      <c r="F1125" s="10"/>
      <c r="G1125" s="17"/>
      <c r="H1125" s="10"/>
      <c r="I1125" s="17"/>
      <c r="J1125" s="82"/>
      <c r="K1125" s="340"/>
      <c r="L1125" s="344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24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>
      <c r="A1126" s="10" t="s">
        <v>254</v>
      </c>
      <c r="B1126" s="226" t="s">
        <v>1668</v>
      </c>
      <c r="C1126" s="10" t="s">
        <v>107</v>
      </c>
      <c r="D1126" s="14" t="str">
        <v/>
      </c>
      <c r="E1126" s="155"/>
      <c r="F1126" s="10"/>
      <c r="G1126" s="17"/>
      <c r="H1126" s="10"/>
      <c r="I1126" s="17"/>
      <c r="J1126" s="82"/>
      <c r="K1126" s="340"/>
      <c r="L1126" s="344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>
      <c r="A1127" s="10"/>
      <c r="B1127" s="226"/>
      <c r="C1127" s="10"/>
      <c r="D1127" s="14"/>
      <c r="E1127" s="155"/>
      <c r="F1127" s="10"/>
      <c r="G1127" s="17"/>
      <c r="H1127" s="10"/>
      <c r="I1127" s="17"/>
      <c r="J1127" s="82"/>
      <c r="K1127" s="340"/>
      <c r="L1127" s="344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>
      <c r="A1128" s="10"/>
      <c r="B1128" s="226"/>
      <c r="C1128" s="10"/>
      <c r="D1128" s="14"/>
      <c r="E1128" s="155"/>
      <c r="F1128" s="10"/>
      <c r="G1128" s="17"/>
      <c r="H1128" s="10"/>
      <c r="I1128" s="17"/>
      <c r="J1128" s="82"/>
      <c r="K1128" s="340"/>
      <c r="L1128" s="344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>
      <c r="A1129" s="10"/>
      <c r="B1129" s="226"/>
      <c r="C1129" s="10"/>
      <c r="D1129" s="14"/>
      <c r="E1129" s="155"/>
      <c r="F1129" s="10"/>
      <c r="G1129" s="17"/>
      <c r="H1129" s="10"/>
      <c r="I1129" s="17"/>
      <c r="J1129" s="82"/>
      <c r="K1129" s="340"/>
      <c r="L1129" s="344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>
      <c r="A1130" s="10" t="s">
        <v>254</v>
      </c>
      <c r="B1130" s="226" t="s">
        <v>1668</v>
      </c>
      <c r="C1130" s="10" t="s">
        <v>97</v>
      </c>
      <c r="D1130" s="14"/>
      <c r="E1130" s="155" t="s">
        <v>396</v>
      </c>
      <c r="F1130" s="10"/>
      <c r="G1130" s="17"/>
      <c r="H1130" s="10"/>
      <c r="I1130" s="17"/>
      <c r="J1130" s="82"/>
      <c r="K1130" s="341">
        <v>0.521208</v>
      </c>
      <c r="L1130" s="344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32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>
      <c r="A1131" s="10" t="s">
        <v>254</v>
      </c>
      <c r="B1131" s="226" t="s">
        <v>1668</v>
      </c>
      <c r="C1131" s="10" t="s">
        <v>97</v>
      </c>
      <c r="D1131" s="14"/>
      <c r="E1131" s="155" t="s">
        <v>397</v>
      </c>
      <c r="F1131" s="10"/>
      <c r="G1131" s="17"/>
      <c r="H1131" s="10"/>
      <c r="I1131" s="17"/>
      <c r="J1131" s="82"/>
      <c r="K1131" s="340"/>
      <c r="L1131" s="344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80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>
      <c r="A1132" s="10" t="s">
        <v>254</v>
      </c>
      <c r="B1132" s="226" t="s">
        <v>1668</v>
      </c>
      <c r="C1132" s="10" t="s">
        <v>97</v>
      </c>
      <c r="D1132" s="14"/>
      <c r="E1132" s="155" t="s">
        <v>398</v>
      </c>
      <c r="F1132" s="10"/>
      <c r="G1132" s="17"/>
      <c r="H1132" s="10"/>
      <c r="I1132" s="17"/>
      <c r="J1132" s="82"/>
      <c r="K1132" s="340"/>
      <c r="L1132" s="344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>
      <c r="A1133" s="10" t="s">
        <v>254</v>
      </c>
      <c r="B1133" s="226" t="s">
        <v>1668</v>
      </c>
      <c r="C1133" s="10" t="s">
        <v>97</v>
      </c>
      <c r="D1133" s="14"/>
      <c r="E1133" s="155" t="s">
        <v>399</v>
      </c>
      <c r="F1133" s="10"/>
      <c r="G1133" s="17"/>
      <c r="H1133" s="10"/>
      <c r="I1133" s="17"/>
      <c r="J1133" s="82"/>
      <c r="K1133" s="340"/>
      <c r="L1133" s="344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24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>
      <c r="A1134" s="10" t="s">
        <v>254</v>
      </c>
      <c r="B1134" s="226" t="s">
        <v>1668</v>
      </c>
      <c r="C1134" s="10" t="s">
        <v>97</v>
      </c>
      <c r="D1134" s="14"/>
      <c r="E1134" s="155"/>
      <c r="F1134" s="10"/>
      <c r="G1134" s="17"/>
      <c r="H1134" s="10"/>
      <c r="I1134" s="17"/>
      <c r="J1134" s="82"/>
      <c r="K1134" s="340"/>
      <c r="L1134" s="344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>
      <c r="A1135" s="10" t="s">
        <v>254</v>
      </c>
      <c r="B1135" s="226" t="s">
        <v>1668</v>
      </c>
      <c r="C1135" s="10"/>
      <c r="D1135" s="14"/>
      <c r="E1135" s="155"/>
      <c r="F1135" s="10"/>
      <c r="G1135" s="17"/>
      <c r="H1135" s="10"/>
      <c r="I1135" s="17"/>
      <c r="J1135" s="82"/>
      <c r="K1135" s="340"/>
      <c r="L1135" s="344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>
      <c r="A1136" s="10" t="s">
        <v>254</v>
      </c>
      <c r="B1136" s="226" t="s">
        <v>1668</v>
      </c>
      <c r="C1136" s="10"/>
      <c r="D1136" s="14"/>
      <c r="E1136" s="155"/>
      <c r="F1136" s="10"/>
      <c r="G1136" s="17"/>
      <c r="H1136" s="10"/>
      <c r="I1136" s="17"/>
      <c r="J1136" s="82"/>
      <c r="K1136" s="340"/>
      <c r="L1136" s="344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>
      <c r="A1137" s="10" t="s">
        <v>254</v>
      </c>
      <c r="B1137" s="226" t="s">
        <v>1668</v>
      </c>
      <c r="C1137" s="10"/>
      <c r="D1137" s="14"/>
      <c r="E1137" s="155"/>
      <c r="F1137" s="10"/>
      <c r="G1137" s="17"/>
      <c r="H1137" s="10"/>
      <c r="I1137" s="17"/>
      <c r="J1137" s="82"/>
      <c r="K1137" s="340"/>
      <c r="L1137" s="344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>
      <c r="A1138" s="10" t="s">
        <v>254</v>
      </c>
      <c r="B1138" s="226" t="s">
        <v>1668</v>
      </c>
      <c r="C1138" s="10"/>
      <c r="D1138" s="14"/>
      <c r="E1138" s="155"/>
      <c r="F1138" s="10"/>
      <c r="G1138" s="17"/>
      <c r="H1138" s="10"/>
      <c r="I1138" s="17"/>
      <c r="J1138" s="82"/>
      <c r="K1138" s="340"/>
      <c r="L1138" s="344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>
      <c r="A1139" s="10" t="s">
        <v>254</v>
      </c>
      <c r="B1139" s="226" t="s">
        <v>1668</v>
      </c>
      <c r="C1139" s="10"/>
      <c r="D1139" s="14"/>
      <c r="E1139" s="155"/>
      <c r="F1139" s="10"/>
      <c r="G1139" s="17"/>
      <c r="H1139" s="10"/>
      <c r="I1139" s="17"/>
      <c r="J1139" s="82"/>
      <c r="K1139" s="340"/>
      <c r="L1139" s="344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>
      <c r="A1140" s="10" t="s">
        <v>254</v>
      </c>
      <c r="B1140" s="226" t="s">
        <v>1668</v>
      </c>
      <c r="C1140" s="10"/>
      <c r="D1140" s="14"/>
      <c r="E1140" s="155"/>
      <c r="F1140" s="10"/>
      <c r="G1140" s="17"/>
      <c r="H1140" s="10"/>
      <c r="I1140" s="17"/>
      <c r="J1140" s="82"/>
      <c r="K1140" s="340"/>
      <c r="L1140" s="344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>
      <c r="A1141" s="10" t="s">
        <v>254</v>
      </c>
      <c r="B1141" s="226" t="s">
        <v>1668</v>
      </c>
      <c r="C1141" s="10"/>
      <c r="D1141" s="14"/>
      <c r="E1141" s="155"/>
      <c r="F1141" s="10"/>
      <c r="G1141" s="17"/>
      <c r="H1141" s="10"/>
      <c r="I1141" s="17"/>
      <c r="J1141" s="82"/>
      <c r="K1141" s="340"/>
      <c r="L1141" s="344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>
      <c r="A1142" s="10" t="s">
        <v>254</v>
      </c>
      <c r="B1142" s="226" t="s">
        <v>1668</v>
      </c>
      <c r="C1142" s="10"/>
      <c r="D1142" s="14"/>
      <c r="E1142" s="155"/>
      <c r="F1142" s="10"/>
      <c r="G1142" s="17"/>
      <c r="H1142" s="10"/>
      <c r="I1142" s="17"/>
      <c r="J1142" s="82"/>
      <c r="K1142" s="340"/>
      <c r="L1142" s="344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>
      <c r="A1143" s="10" t="s">
        <v>254</v>
      </c>
      <c r="B1143" s="226" t="s">
        <v>1668</v>
      </c>
      <c r="C1143" s="10"/>
      <c r="D1143" s="14"/>
      <c r="E1143" s="155"/>
      <c r="F1143" s="10"/>
      <c r="G1143" s="17"/>
      <c r="H1143" s="10"/>
      <c r="I1143" s="17"/>
      <c r="J1143" s="82"/>
      <c r="K1143" s="340"/>
      <c r="L1143" s="344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>
      <c r="A1144" s="10" t="s">
        <v>254</v>
      </c>
      <c r="B1144" s="226" t="s">
        <v>1668</v>
      </c>
      <c r="C1144" s="10"/>
      <c r="D1144" s="14"/>
      <c r="E1144" s="155"/>
      <c r="F1144" s="10"/>
      <c r="G1144" s="17"/>
      <c r="H1144" s="10"/>
      <c r="I1144" s="17"/>
      <c r="J1144" s="82"/>
      <c r="K1144" s="340"/>
      <c r="L1144" s="344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>
      <c r="A1145" s="10" t="s">
        <v>254</v>
      </c>
      <c r="B1145" s="226" t="s">
        <v>1668</v>
      </c>
      <c r="C1145" s="10"/>
      <c r="D1145" s="14"/>
      <c r="E1145" s="155"/>
      <c r="F1145" s="10"/>
      <c r="G1145" s="17"/>
      <c r="H1145" s="10"/>
      <c r="I1145" s="17"/>
      <c r="J1145" s="82"/>
      <c r="K1145" s="340"/>
      <c r="L1145" s="344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>
      <c r="A1146" s="10" t="s">
        <v>254</v>
      </c>
      <c r="B1146" s="226" t="s">
        <v>1668</v>
      </c>
      <c r="C1146" s="10"/>
      <c r="D1146" s="14"/>
      <c r="E1146" s="155"/>
      <c r="F1146" s="10"/>
      <c r="G1146" s="17"/>
      <c r="H1146" s="10"/>
      <c r="I1146" s="17"/>
      <c r="J1146" s="82"/>
      <c r="K1146" s="340"/>
      <c r="L1146" s="344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>
      <c r="A1147" s="10" t="s">
        <v>254</v>
      </c>
      <c r="B1147" s="226" t="s">
        <v>1668</v>
      </c>
      <c r="C1147" s="10"/>
      <c r="D1147" s="14"/>
      <c r="E1147" s="155"/>
      <c r="F1147" s="10"/>
      <c r="G1147" s="17"/>
      <c r="H1147" s="10"/>
      <c r="I1147" s="17"/>
      <c r="J1147" s="82"/>
      <c r="K1147" s="340"/>
      <c r="L1147" s="344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>
      <c r="A1148" s="10" t="s">
        <v>254</v>
      </c>
      <c r="B1148" s="226" t="s">
        <v>1668</v>
      </c>
      <c r="C1148" s="10"/>
      <c r="D1148" s="14"/>
      <c r="E1148" s="155"/>
      <c r="F1148" s="10"/>
      <c r="G1148" s="17"/>
      <c r="H1148" s="10"/>
      <c r="I1148" s="17"/>
      <c r="J1148" s="82"/>
      <c r="K1148" s="340"/>
      <c r="L1148" s="344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>
      <c r="A1149" s="10" t="s">
        <v>254</v>
      </c>
      <c r="B1149" s="226" t="s">
        <v>1668</v>
      </c>
      <c r="C1149" s="10"/>
      <c r="D1149" s="14"/>
      <c r="E1149" s="155"/>
      <c r="F1149" s="10"/>
      <c r="G1149" s="17"/>
      <c r="H1149" s="10"/>
      <c r="I1149" s="17"/>
      <c r="J1149" s="82"/>
      <c r="K1149" s="340"/>
      <c r="L1149" s="344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>
      <c r="A1150" s="10" t="s">
        <v>254</v>
      </c>
      <c r="B1150" s="226" t="s">
        <v>1668</v>
      </c>
      <c r="C1150" s="10"/>
      <c r="D1150" s="14"/>
      <c r="E1150" s="155"/>
      <c r="F1150" s="10"/>
      <c r="G1150" s="17"/>
      <c r="H1150" s="10"/>
      <c r="I1150" s="17"/>
      <c r="J1150" s="82"/>
      <c r="K1150" s="340"/>
      <c r="L1150" s="344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>
      <c r="A1151" s="10" t="s">
        <v>254</v>
      </c>
      <c r="B1151" s="226" t="s">
        <v>1668</v>
      </c>
      <c r="C1151" s="10"/>
      <c r="D1151" s="14"/>
      <c r="E1151" s="155"/>
      <c r="F1151" s="10"/>
      <c r="G1151" s="17"/>
      <c r="H1151" s="10"/>
      <c r="I1151" s="17"/>
      <c r="J1151" s="82"/>
      <c r="K1151" s="340"/>
      <c r="L1151" s="344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P/C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>
      <c r="A1152" s="10" t="s">
        <v>254</v>
      </c>
      <c r="B1152" s="226" t="s">
        <v>1668</v>
      </c>
      <c r="C1152" s="10"/>
      <c r="D1152" s="14"/>
      <c r="E1152" s="155"/>
      <c r="F1152" s="10"/>
      <c r="G1152" s="17"/>
      <c r="H1152" s="10"/>
      <c r="I1152" s="17"/>
      <c r="J1152" s="82"/>
      <c r="K1152" s="340"/>
      <c r="L1152" s="344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80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>
      <c r="A1153" s="10" t="s">
        <v>254</v>
      </c>
      <c r="B1153" s="226" t="s">
        <v>1668</v>
      </c>
      <c r="C1153" s="10"/>
      <c r="D1153" s="14"/>
      <c r="E1153" s="155"/>
      <c r="F1153" s="10"/>
      <c r="G1153" s="17"/>
      <c r="H1153" s="10"/>
      <c r="I1153" s="17"/>
      <c r="J1153" s="82"/>
      <c r="K1153" s="340"/>
      <c r="L1153" s="344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>
      <c r="A1154" s="10" t="s">
        <v>254</v>
      </c>
      <c r="B1154" s="226" t="s">
        <v>1668</v>
      </c>
      <c r="C1154" s="10"/>
      <c r="D1154" s="14"/>
      <c r="E1154" s="155"/>
      <c r="F1154" s="10"/>
      <c r="G1154" s="17"/>
      <c r="H1154" s="10"/>
      <c r="I1154" s="17"/>
      <c r="J1154" s="82"/>
      <c r="K1154" s="340"/>
      <c r="L1154" s="344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6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>
      <c r="A1155" s="10" t="s">
        <v>254</v>
      </c>
      <c r="B1155" s="226" t="s">
        <v>1668</v>
      </c>
      <c r="C1155" s="10"/>
      <c r="D1155" s="14"/>
      <c r="E1155" s="155"/>
      <c r="F1155" s="10"/>
      <c r="G1155" s="17"/>
      <c r="H1155" s="10"/>
      <c r="I1155" s="17"/>
      <c r="J1155" s="82"/>
      <c r="K1155" s="340"/>
      <c r="L1155" s="344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>
      <c r="A1156" s="10" t="s">
        <v>254</v>
      </c>
      <c r="B1156" s="226" t="s">
        <v>1668</v>
      </c>
      <c r="C1156" s="10"/>
      <c r="D1156" s="14"/>
      <c r="E1156" s="155"/>
      <c r="F1156" s="10"/>
      <c r="G1156" s="17"/>
      <c r="H1156" s="10"/>
      <c r="I1156" s="17"/>
      <c r="J1156" s="82"/>
      <c r="K1156" s="340"/>
      <c r="L1156" s="344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>
      <c r="A1157" s="10" t="s">
        <v>254</v>
      </c>
      <c r="B1157" s="226" t="s">
        <v>1668</v>
      </c>
      <c r="C1157" s="10"/>
      <c r="D1157" s="14"/>
      <c r="E1157" s="155"/>
      <c r="F1157" s="10"/>
      <c r="G1157" s="17"/>
      <c r="H1157" s="10"/>
      <c r="I1157" s="17"/>
      <c r="J1157" s="82"/>
      <c r="K1157" s="340"/>
      <c r="L1157" s="344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>
      <c r="A1158" s="10" t="s">
        <v>254</v>
      </c>
      <c r="B1158" s="226" t="s">
        <v>1668</v>
      </c>
      <c r="C1158" s="10"/>
      <c r="D1158" s="14"/>
      <c r="E1158" s="155"/>
      <c r="F1158" s="10"/>
      <c r="G1158" s="17"/>
      <c r="H1158" s="10"/>
      <c r="I1158" s="17"/>
      <c r="J1158" s="82"/>
      <c r="K1158" s="340"/>
      <c r="L1158" s="344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>
      <c r="A1159" s="10" t="s">
        <v>254</v>
      </c>
      <c r="B1159" s="226" t="s">
        <v>1668</v>
      </c>
      <c r="C1159" s="10"/>
      <c r="D1159" s="14"/>
      <c r="E1159" s="155"/>
      <c r="F1159" s="10"/>
      <c r="G1159" s="17"/>
      <c r="H1159" s="10"/>
      <c r="I1159" s="17"/>
      <c r="J1159" s="82"/>
      <c r="K1159" s="340"/>
      <c r="L1159" s="344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>
      <c r="A1160" s="10" t="s">
        <v>254</v>
      </c>
      <c r="B1160" s="226" t="s">
        <v>1668</v>
      </c>
      <c r="C1160" s="10"/>
      <c r="D1160" s="14"/>
      <c r="E1160" s="155"/>
      <c r="F1160" s="10"/>
      <c r="G1160" s="17"/>
      <c r="H1160" s="10"/>
      <c r="I1160" s="17"/>
      <c r="J1160" s="82"/>
      <c r="K1160" s="340"/>
      <c r="L1160" s="344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>
      <c r="A1161" s="10" t="s">
        <v>254</v>
      </c>
      <c r="B1161" s="226" t="s">
        <v>1668</v>
      </c>
      <c r="C1161" s="10"/>
      <c r="D1161" s="14"/>
      <c r="E1161" s="155"/>
      <c r="F1161" s="10"/>
      <c r="G1161" s="17"/>
      <c r="H1161" s="10"/>
      <c r="I1161" s="17"/>
      <c r="J1161" s="82"/>
      <c r="K1161" s="340"/>
      <c r="L1161" s="344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>
      <c r="A1162" s="10" t="s">
        <v>254</v>
      </c>
      <c r="B1162" s="226" t="s">
        <v>1668</v>
      </c>
      <c r="C1162" s="10"/>
      <c r="D1162" s="14"/>
      <c r="E1162" s="155"/>
      <c r="F1162" s="10"/>
      <c r="G1162" s="17"/>
      <c r="H1162" s="10"/>
      <c r="I1162" s="17"/>
      <c r="J1162" s="82"/>
      <c r="K1162" s="340"/>
      <c r="L1162" s="344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>
      <c r="A1163" s="10" t="s">
        <v>254</v>
      </c>
      <c r="B1163" s="226" t="s">
        <v>1668</v>
      </c>
      <c r="C1163" s="10"/>
      <c r="D1163" s="14"/>
      <c r="E1163" s="155"/>
      <c r="F1163" s="10"/>
      <c r="G1163" s="17"/>
      <c r="H1163" s="10"/>
      <c r="I1163" s="17"/>
      <c r="J1163" s="82"/>
      <c r="K1163" s="340"/>
      <c r="L1163" s="344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>
      <c r="A1164" s="10" t="s">
        <v>254</v>
      </c>
      <c r="B1164" s="226" t="s">
        <v>1668</v>
      </c>
      <c r="C1164" s="10"/>
      <c r="D1164" s="14"/>
      <c r="E1164" s="155"/>
      <c r="F1164" s="10"/>
      <c r="G1164" s="17"/>
      <c r="H1164" s="10"/>
      <c r="I1164" s="17"/>
      <c r="J1164" s="82"/>
      <c r="K1164" s="340"/>
      <c r="L1164" s="344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>
      <c r="A1165" s="10" t="s">
        <v>254</v>
      </c>
      <c r="B1165" s="226" t="s">
        <v>1668</v>
      </c>
      <c r="C1165" s="10"/>
      <c r="D1165" s="14"/>
      <c r="E1165" s="155"/>
      <c r="F1165" s="10"/>
      <c r="G1165" s="17"/>
      <c r="H1165" s="10"/>
      <c r="I1165" s="17"/>
      <c r="J1165" s="82"/>
      <c r="K1165" s="340"/>
      <c r="L1165" s="344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>
      <c r="A1166" s="10" t="s">
        <v>254</v>
      </c>
      <c r="B1166" s="226" t="s">
        <v>1668</v>
      </c>
      <c r="C1166" s="10"/>
      <c r="D1166" s="14"/>
      <c r="E1166" s="155"/>
      <c r="F1166" s="10"/>
      <c r="G1166" s="17"/>
      <c r="H1166" s="10"/>
      <c r="I1166" s="17"/>
      <c r="J1166" s="82"/>
      <c r="K1166" s="340"/>
      <c r="L1166" s="344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>
      <c r="A1167" s="10" t="s">
        <v>254</v>
      </c>
      <c r="B1167" s="226" t="s">
        <v>1668</v>
      </c>
      <c r="C1167" s="10"/>
      <c r="D1167" s="14"/>
      <c r="E1167" s="155"/>
      <c r="F1167" s="10"/>
      <c r="G1167" s="17"/>
      <c r="H1167" s="10"/>
      <c r="I1167" s="17"/>
      <c r="J1167" s="82"/>
      <c r="K1167" s="340"/>
      <c r="L1167" s="344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>
      <c r="A1168" s="10" t="s">
        <v>254</v>
      </c>
      <c r="B1168" s="226" t="s">
        <v>1668</v>
      </c>
      <c r="C1168" s="10"/>
      <c r="D1168" s="14"/>
      <c r="E1168" s="155"/>
      <c r="F1168" s="10"/>
      <c r="G1168" s="17"/>
      <c r="H1168" s="10"/>
      <c r="I1168" s="17"/>
      <c r="J1168" s="82"/>
      <c r="K1168" s="340"/>
      <c r="L1168" s="344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>
      <c r="A1169" s="10" t="s">
        <v>254</v>
      </c>
      <c r="B1169" s="226" t="s">
        <v>1668</v>
      </c>
      <c r="C1169" s="10"/>
      <c r="D1169" s="14"/>
      <c r="E1169" s="155"/>
      <c r="F1169" s="10"/>
      <c r="G1169" s="17"/>
      <c r="H1169" s="10"/>
      <c r="I1169" s="17"/>
      <c r="J1169" s="82"/>
      <c r="K1169" s="340"/>
      <c r="L1169" s="344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>
      <c r="A1170" s="17" t="s">
        <v>254</v>
      </c>
      <c r="B1170" s="227" t="s">
        <v>1668</v>
      </c>
      <c r="C1170" s="17"/>
      <c r="D1170" s="18"/>
      <c r="E1170" s="235"/>
      <c r="F1170" s="17"/>
      <c r="G1170" s="17"/>
      <c r="H1170" s="10"/>
      <c r="I1170" s="17"/>
      <c r="J1170" s="82"/>
      <c r="K1170" s="340"/>
      <c r="L1170" s="344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>
      <c r="A1171" s="10" t="s">
        <v>253</v>
      </c>
      <c r="B1171" s="226" t="s">
        <v>372</v>
      </c>
      <c r="C1171" s="10" t="s">
        <v>403</v>
      </c>
      <c r="D1171" s="14" t="str">
        <f>P1171</f>
        <v>Below 30" x 84" ecobonz 2.5mm Glossy / VACP 800 Series</v>
      </c>
      <c r="E1171" s="245" t="s">
        <v>375</v>
      </c>
      <c r="F1171" s="112" t="s">
        <v>382</v>
      </c>
      <c r="G1171" s="17" t="s">
        <v>381</v>
      </c>
      <c r="H1171" s="10"/>
      <c r="I1171" s="17"/>
      <c r="J1171" s="82"/>
      <c r="K1171" s="341">
        <v>0.286028</v>
      </c>
      <c r="L1171" s="344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>
      <c r="A1172" s="10" t="s">
        <v>253</v>
      </c>
      <c r="B1172" s="226" t="s">
        <v>372</v>
      </c>
      <c r="C1172" s="10" t="s">
        <v>403</v>
      </c>
      <c r="D1172" s="14" t="str">
        <f t="shared" ref="D1172:D1179" si="18">P1172</f>
        <v>Below 30" x 84" ecoscreen 2.5mm</v>
      </c>
      <c r="E1172" s="245" t="s">
        <v>376</v>
      </c>
      <c r="F1172" s="112" t="s">
        <v>383</v>
      </c>
      <c r="G1172" s="17"/>
      <c r="H1172" s="10"/>
      <c r="I1172" s="17"/>
      <c r="J1172" s="82"/>
      <c r="K1172" s="340"/>
      <c r="L1172" s="344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>
      <c r="A1173" s="10" t="s">
        <v>253</v>
      </c>
      <c r="B1173" s="226" t="s">
        <v>372</v>
      </c>
      <c r="C1173" s="10" t="s">
        <v>403</v>
      </c>
      <c r="D1173" s="14" t="str">
        <f t="shared" si="18"/>
        <v>Below 30" x 84" ecopoly 2.5mm</v>
      </c>
      <c r="E1173" s="155" t="s">
        <v>377</v>
      </c>
      <c r="F1173" s="14" t="s">
        <v>384</v>
      </c>
      <c r="G1173" s="17"/>
      <c r="H1173" s="10"/>
      <c r="I1173" s="17"/>
      <c r="J1173" s="82"/>
      <c r="K1173" s="340"/>
      <c r="L1173" s="344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>
      <c r="A1174" s="10" t="s">
        <v>253</v>
      </c>
      <c r="B1174" s="226" t="s">
        <v>372</v>
      </c>
      <c r="C1174" s="10" t="s">
        <v>403</v>
      </c>
      <c r="D1174" s="14" t="str">
        <f t="shared" si="18"/>
        <v>Below 30" x 84" Aerolite</v>
      </c>
      <c r="E1174" s="155" t="s">
        <v>378</v>
      </c>
      <c r="F1174" s="14"/>
      <c r="G1174" s="17"/>
      <c r="H1174" s="10"/>
      <c r="I1174" s="17"/>
      <c r="J1174" s="82"/>
      <c r="K1174" s="340"/>
      <c r="L1174" s="344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>
      <c r="A1175" s="10" t="s">
        <v>253</v>
      </c>
      <c r="B1175" s="226" t="s">
        <v>372</v>
      </c>
      <c r="C1175" s="10" t="s">
        <v>403</v>
      </c>
      <c r="D1175" s="14" t="str">
        <f t="shared" si="18"/>
        <v>1. Below 30" x 84" Composite</v>
      </c>
      <c r="E1175" s="155" t="s">
        <v>379</v>
      </c>
      <c r="F1175" s="14"/>
      <c r="G1175" s="17"/>
      <c r="H1175" s="10"/>
      <c r="I1175" s="17"/>
      <c r="J1175" s="82"/>
      <c r="K1175" s="340"/>
      <c r="L1175" s="344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>
      <c r="A1176" s="10" t="s">
        <v>253</v>
      </c>
      <c r="B1176" s="226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5"/>
      <c r="F1176" s="14"/>
      <c r="G1176" s="17"/>
      <c r="H1176" s="10"/>
      <c r="I1176" s="17"/>
      <c r="J1176" s="82"/>
      <c r="K1176" s="340"/>
      <c r="L1176" s="344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>
      <c r="A1177" s="10" t="s">
        <v>253</v>
      </c>
      <c r="B1177" s="226" t="s">
        <v>372</v>
      </c>
      <c r="C1177" s="10" t="s">
        <v>403</v>
      </c>
      <c r="D1177" s="14" t="str">
        <f t="shared" si="18"/>
        <v>Below 30" x 84" N.Clear Glass</v>
      </c>
      <c r="E1177" s="155"/>
      <c r="F1177" s="14"/>
      <c r="G1177" s="17"/>
      <c r="H1177" s="10"/>
      <c r="I1177" s="17"/>
      <c r="J1177" s="82"/>
      <c r="K1177" s="340"/>
      <c r="L1177" s="344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>
      <c r="A1178" s="10" t="s">
        <v>253</v>
      </c>
      <c r="B1178" s="226" t="s">
        <v>372</v>
      </c>
      <c r="C1178" s="10" t="s">
        <v>403</v>
      </c>
      <c r="D1178" s="14" t="str">
        <f t="shared" si="18"/>
        <v>Below 30" x 84" Tempered Glass</v>
      </c>
      <c r="E1178" s="155"/>
      <c r="F1178" s="14"/>
      <c r="G1178" s="17"/>
      <c r="H1178" s="10"/>
      <c r="I1178" s="17"/>
      <c r="J1178" s="82"/>
      <c r="K1178" s="340"/>
      <c r="L1178" s="344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>
      <c r="A1179" s="10" t="s">
        <v>253</v>
      </c>
      <c r="B1179" s="226" t="s">
        <v>372</v>
      </c>
      <c r="C1179" s="10" t="s">
        <v>403</v>
      </c>
      <c r="D1179" s="14" t="str">
        <f t="shared" si="18"/>
        <v>Below 30" x 84" Full Louvers</v>
      </c>
      <c r="E1179" s="155"/>
      <c r="F1179" s="14"/>
      <c r="G1179" s="17"/>
      <c r="H1179" s="10"/>
      <c r="I1179" s="17"/>
      <c r="J1179" s="82"/>
      <c r="K1179" s="340"/>
      <c r="L1179" s="344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>
      <c r="A1180" s="10" t="s">
        <v>253</v>
      </c>
      <c r="B1180" s="226" t="s">
        <v>372</v>
      </c>
      <c r="C1180" s="10" t="s">
        <v>403</v>
      </c>
      <c r="D1180" s="107"/>
      <c r="E1180" s="155"/>
      <c r="F1180" s="14"/>
      <c r="G1180" s="17"/>
      <c r="H1180" s="10"/>
      <c r="I1180" s="17"/>
      <c r="J1180" s="82"/>
      <c r="K1180" s="341"/>
      <c r="L1180" s="344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>
      <c r="A1181" s="10" t="s">
        <v>253</v>
      </c>
      <c r="B1181" s="226" t="s">
        <v>372</v>
      </c>
      <c r="C1181" s="10" t="s">
        <v>403</v>
      </c>
      <c r="D1181" s="14"/>
      <c r="E1181" s="155"/>
      <c r="F1181" s="14"/>
      <c r="G1181" s="17"/>
      <c r="H1181" s="10"/>
      <c r="I1181" s="17"/>
      <c r="J1181" s="82"/>
      <c r="K1181" s="341"/>
      <c r="L1181" s="344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>
      <c r="A1182" s="10" t="s">
        <v>253</v>
      </c>
      <c r="B1182" s="226" t="s">
        <v>372</v>
      </c>
      <c r="C1182" s="10" t="s">
        <v>403</v>
      </c>
      <c r="D1182" s="14"/>
      <c r="E1182" s="155"/>
      <c r="F1182" s="14"/>
      <c r="G1182" s="17"/>
      <c r="H1182" s="10"/>
      <c r="I1182" s="17"/>
      <c r="J1182" s="82"/>
      <c r="K1182" s="340"/>
      <c r="L1182" s="344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>
      <c r="A1183" s="10" t="s">
        <v>253</v>
      </c>
      <c r="B1183" s="226" t="s">
        <v>372</v>
      </c>
      <c r="C1183" s="10" t="s">
        <v>403</v>
      </c>
      <c r="D1183" s="14"/>
      <c r="E1183" s="155"/>
      <c r="F1183" s="14"/>
      <c r="G1183" s="17"/>
      <c r="H1183" s="10"/>
      <c r="I1183" s="17"/>
      <c r="J1183" s="82"/>
      <c r="K1183" s="340"/>
      <c r="L1183" s="344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4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>
      <c r="A1184" s="10" t="s">
        <v>253</v>
      </c>
      <c r="B1184" s="226" t="s">
        <v>372</v>
      </c>
      <c r="C1184" s="10" t="s">
        <v>403</v>
      </c>
      <c r="D1184" s="14"/>
      <c r="E1184" s="155"/>
      <c r="F1184" s="14"/>
      <c r="G1184" s="17"/>
      <c r="H1184" s="10"/>
      <c r="I1184" s="17"/>
      <c r="J1184" s="82"/>
      <c r="K1184" s="340"/>
      <c r="L1184" s="344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>
      <c r="A1185" s="10" t="s">
        <v>253</v>
      </c>
      <c r="B1185" s="226" t="s">
        <v>372</v>
      </c>
      <c r="C1185" s="10" t="s">
        <v>403</v>
      </c>
      <c r="D1185" s="14"/>
      <c r="E1185" s="155"/>
      <c r="F1185" s="14"/>
      <c r="G1185" s="17"/>
      <c r="H1185" s="10"/>
      <c r="I1185" s="17"/>
      <c r="J1185" s="82"/>
      <c r="K1185" s="340"/>
      <c r="L1185" s="344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Breezway 102mm Glass Infill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>
      <c r="A1186" s="10" t="s">
        <v>253</v>
      </c>
      <c r="B1186" s="226" t="s">
        <v>372</v>
      </c>
      <c r="C1186" s="10" t="s">
        <v>403</v>
      </c>
      <c r="D1186" s="14"/>
      <c r="E1186" s="155"/>
      <c r="F1186" s="14"/>
      <c r="G1186" s="17"/>
      <c r="H1186" s="10"/>
      <c r="I1186" s="17"/>
      <c r="J1186" s="82"/>
      <c r="K1186" s="340"/>
      <c r="L1186" s="344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>
      <c r="A1187" s="17"/>
      <c r="B1187" s="227"/>
      <c r="C1187" s="17"/>
      <c r="D1187" s="18"/>
      <c r="E1187" s="235"/>
      <c r="F1187" s="18"/>
      <c r="G1187" s="17"/>
      <c r="H1187" s="17"/>
      <c r="I1187" s="17"/>
      <c r="J1187" s="83"/>
      <c r="K1187" s="340"/>
      <c r="L1187" s="344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>
      <c r="A1188" s="10" t="s">
        <v>253</v>
      </c>
      <c r="B1188" s="226" t="s">
        <v>372</v>
      </c>
      <c r="C1188" s="10" t="s">
        <v>404</v>
      </c>
      <c r="D1188" s="14" t="str">
        <f>P1188</f>
        <v>Below 30" x 84" ecobonz 2.5mm Glossy / VACP 800 Series</v>
      </c>
      <c r="E1188" s="245" t="s">
        <v>375</v>
      </c>
      <c r="F1188" s="112" t="s">
        <v>382</v>
      </c>
      <c r="G1188" s="17" t="s">
        <v>381</v>
      </c>
      <c r="H1188" s="10"/>
      <c r="I1188" s="17"/>
      <c r="J1188" s="82"/>
      <c r="K1188" s="341">
        <v>0.28156700000000001</v>
      </c>
      <c r="L1188" s="344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>
      <c r="A1189" s="10" t="s">
        <v>253</v>
      </c>
      <c r="B1189" s="226" t="s">
        <v>372</v>
      </c>
      <c r="C1189" s="10" t="s">
        <v>404</v>
      </c>
      <c r="D1189" s="14" t="str">
        <f t="shared" ref="D1189:D1196" si="20">P1189</f>
        <v>Below 30" x 84" ecoscreen 2.5mm</v>
      </c>
      <c r="E1189" s="245" t="s">
        <v>376</v>
      </c>
      <c r="F1189" s="112" t="s">
        <v>383</v>
      </c>
      <c r="G1189" s="17"/>
      <c r="H1189" s="10"/>
      <c r="I1189" s="17"/>
      <c r="J1189" s="82"/>
      <c r="K1189" s="340"/>
      <c r="L1189" s="344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>
      <c r="A1190" s="10" t="s">
        <v>253</v>
      </c>
      <c r="B1190" s="226" t="s">
        <v>372</v>
      </c>
      <c r="C1190" s="10" t="s">
        <v>404</v>
      </c>
      <c r="D1190" s="14" t="str">
        <f t="shared" si="20"/>
        <v>Below 30" x 84" ecopoly 2.5mm</v>
      </c>
      <c r="E1190" s="155" t="s">
        <v>377</v>
      </c>
      <c r="F1190" s="14" t="s">
        <v>384</v>
      </c>
      <c r="G1190" s="17"/>
      <c r="H1190" s="10"/>
      <c r="I1190" s="17"/>
      <c r="J1190" s="82"/>
      <c r="K1190" s="340"/>
      <c r="L1190" s="344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>
      <c r="A1191" s="10" t="s">
        <v>253</v>
      </c>
      <c r="B1191" s="226" t="s">
        <v>372</v>
      </c>
      <c r="C1191" s="10" t="s">
        <v>404</v>
      </c>
      <c r="D1191" s="14" t="str">
        <f t="shared" si="20"/>
        <v>Below 30" x 84" Aerolite</v>
      </c>
      <c r="E1191" s="155" t="s">
        <v>378</v>
      </c>
      <c r="F1191" s="14"/>
      <c r="G1191" s="17"/>
      <c r="H1191" s="10"/>
      <c r="I1191" s="17"/>
      <c r="J1191" s="82"/>
      <c r="K1191" s="340"/>
      <c r="L1191" s="344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>
      <c r="A1192" s="10" t="s">
        <v>253</v>
      </c>
      <c r="B1192" s="226" t="s">
        <v>372</v>
      </c>
      <c r="C1192" s="10" t="s">
        <v>404</v>
      </c>
      <c r="D1192" s="14" t="str">
        <f t="shared" si="20"/>
        <v>1. Below 30" x 84" Composite</v>
      </c>
      <c r="E1192" s="155" t="s">
        <v>379</v>
      </c>
      <c r="F1192" s="14"/>
      <c r="G1192" s="17"/>
      <c r="H1192" s="10"/>
      <c r="I1192" s="17"/>
      <c r="J1192" s="82"/>
      <c r="K1192" s="340"/>
      <c r="L1192" s="344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>
      <c r="A1193" s="10" t="s">
        <v>253</v>
      </c>
      <c r="B1193" s="226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5"/>
      <c r="F1193" s="14"/>
      <c r="G1193" s="17"/>
      <c r="H1193" s="10"/>
      <c r="I1193" s="17"/>
      <c r="J1193" s="82"/>
      <c r="K1193" s="340"/>
      <c r="L1193" s="344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>
      <c r="A1194" s="10" t="s">
        <v>253</v>
      </c>
      <c r="B1194" s="226" t="s">
        <v>372</v>
      </c>
      <c r="C1194" s="10" t="s">
        <v>404</v>
      </c>
      <c r="D1194" s="14" t="str">
        <f t="shared" si="20"/>
        <v>Below 30" x 84" N.Clear Glass</v>
      </c>
      <c r="E1194" s="155"/>
      <c r="F1194" s="14"/>
      <c r="G1194" s="17"/>
      <c r="H1194" s="10"/>
      <c r="I1194" s="17"/>
      <c r="J1194" s="82"/>
      <c r="K1194" s="340"/>
      <c r="L1194" s="344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>
      <c r="A1195" s="10" t="s">
        <v>253</v>
      </c>
      <c r="B1195" s="226" t="s">
        <v>372</v>
      </c>
      <c r="C1195" s="10" t="s">
        <v>404</v>
      </c>
      <c r="D1195" s="14" t="str">
        <f t="shared" si="20"/>
        <v>Below 30" x 84" Tempered Glass</v>
      </c>
      <c r="E1195" s="155"/>
      <c r="F1195" s="14"/>
      <c r="G1195" s="17"/>
      <c r="H1195" s="10"/>
      <c r="I1195" s="17"/>
      <c r="J1195" s="82"/>
      <c r="K1195" s="340"/>
      <c r="L1195" s="344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>
      <c r="A1196" s="10" t="s">
        <v>253</v>
      </c>
      <c r="B1196" s="226" t="s">
        <v>372</v>
      </c>
      <c r="C1196" s="10" t="s">
        <v>404</v>
      </c>
      <c r="D1196" s="14" t="str">
        <f t="shared" si="20"/>
        <v>Below 30" x 84" Full Louvers</v>
      </c>
      <c r="E1196" s="155"/>
      <c r="F1196" s="14"/>
      <c r="G1196" s="17"/>
      <c r="H1196" s="10"/>
      <c r="I1196" s="17"/>
      <c r="J1196" s="82"/>
      <c r="K1196" s="340"/>
      <c r="L1196" s="344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>
      <c r="A1197" s="10" t="s">
        <v>253</v>
      </c>
      <c r="B1197" s="226" t="s">
        <v>372</v>
      </c>
      <c r="C1197" s="10" t="s">
        <v>404</v>
      </c>
      <c r="D1197" s="14"/>
      <c r="E1197" s="155"/>
      <c r="F1197" s="10"/>
      <c r="G1197" s="17"/>
      <c r="H1197" s="10"/>
      <c r="I1197" s="17"/>
      <c r="J1197" s="82"/>
      <c r="K1197" s="341"/>
      <c r="L1197" s="344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>
      <c r="A1198" s="10" t="s">
        <v>253</v>
      </c>
      <c r="B1198" s="226" t="s">
        <v>372</v>
      </c>
      <c r="C1198" s="10" t="s">
        <v>404</v>
      </c>
      <c r="D1198" s="107"/>
      <c r="E1198" s="155"/>
      <c r="F1198" s="14"/>
      <c r="G1198" s="17"/>
      <c r="H1198" s="10"/>
      <c r="I1198" s="17"/>
      <c r="J1198" s="82"/>
      <c r="K1198" s="341"/>
      <c r="L1198" s="344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>
      <c r="A1199" s="10" t="s">
        <v>253</v>
      </c>
      <c r="B1199" s="226" t="s">
        <v>372</v>
      </c>
      <c r="C1199" s="10" t="s">
        <v>404</v>
      </c>
      <c r="D1199" s="14"/>
      <c r="E1199" s="155"/>
      <c r="F1199" s="14"/>
      <c r="G1199" s="17"/>
      <c r="H1199" s="10"/>
      <c r="I1199" s="17"/>
      <c r="J1199" s="82"/>
      <c r="K1199" s="341"/>
      <c r="L1199" s="344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>
      <c r="A1200" s="10" t="s">
        <v>253</v>
      </c>
      <c r="B1200" s="226" t="s">
        <v>372</v>
      </c>
      <c r="C1200" s="10" t="s">
        <v>404</v>
      </c>
      <c r="D1200" s="14"/>
      <c r="E1200" s="155"/>
      <c r="F1200" s="14"/>
      <c r="G1200" s="17"/>
      <c r="H1200" s="10"/>
      <c r="I1200" s="17"/>
      <c r="J1200" s="82"/>
      <c r="K1200" s="340"/>
      <c r="L1200" s="344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4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>
      <c r="A1201" s="10" t="s">
        <v>253</v>
      </c>
      <c r="B1201" s="226" t="s">
        <v>372</v>
      </c>
      <c r="C1201" s="10" t="s">
        <v>404</v>
      </c>
      <c r="D1201" s="14"/>
      <c r="E1201" s="155"/>
      <c r="F1201" s="14"/>
      <c r="G1201" s="17"/>
      <c r="H1201" s="10"/>
      <c r="I1201" s="17"/>
      <c r="J1201" s="82"/>
      <c r="K1201" s="340"/>
      <c r="L1201" s="344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>
      <c r="A1202" s="10" t="s">
        <v>253</v>
      </c>
      <c r="B1202" s="226" t="s">
        <v>372</v>
      </c>
      <c r="C1202" s="10" t="s">
        <v>404</v>
      </c>
      <c r="D1202" s="14"/>
      <c r="E1202" s="155"/>
      <c r="F1202" s="14"/>
      <c r="G1202" s="17"/>
      <c r="H1202" s="10"/>
      <c r="I1202" s="17"/>
      <c r="J1202" s="82"/>
      <c r="K1202" s="340"/>
      <c r="L1202" s="344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Breezway 102mm Glass Infill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>
      <c r="A1203" s="10" t="s">
        <v>253</v>
      </c>
      <c r="B1203" s="226" t="s">
        <v>372</v>
      </c>
      <c r="C1203" s="10" t="s">
        <v>404</v>
      </c>
      <c r="D1203" s="14"/>
      <c r="E1203" s="155"/>
      <c r="F1203" s="14"/>
      <c r="G1203" s="17"/>
      <c r="H1203" s="10"/>
      <c r="I1203" s="17"/>
      <c r="J1203" s="82"/>
      <c r="K1203" s="340"/>
      <c r="L1203" s="344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>
      <c r="A1204" s="17"/>
      <c r="B1204" s="227"/>
      <c r="C1204" s="17"/>
      <c r="D1204" s="18"/>
      <c r="E1204" s="235"/>
      <c r="F1204" s="18"/>
      <c r="G1204" s="17"/>
      <c r="H1204" s="17"/>
      <c r="I1204" s="17"/>
      <c r="J1204" s="83"/>
      <c r="K1204" s="340"/>
      <c r="L1204" s="344"/>
      <c r="M1204" s="89"/>
      <c r="N1204" s="17"/>
      <c r="O1204" s="25"/>
      <c r="P1204" s="119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>
      <c r="A1205" s="10" t="s">
        <v>253</v>
      </c>
      <c r="B1205" s="226" t="s">
        <v>405</v>
      </c>
      <c r="C1205" s="10" t="s">
        <v>443</v>
      </c>
      <c r="D1205" s="14" t="str">
        <f>P1205</f>
        <v>Below 34" x 84" ecobonz 2.5mm Glossy / VACP 800 Series</v>
      </c>
      <c r="E1205" s="245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1">
        <v>0.30055599999999999</v>
      </c>
      <c r="L1205" s="344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>
      <c r="A1206" s="10" t="s">
        <v>253</v>
      </c>
      <c r="B1206" s="226" t="s">
        <v>405</v>
      </c>
      <c r="C1206" s="10" t="s">
        <v>443</v>
      </c>
      <c r="D1206" s="14" t="str">
        <f t="shared" ref="D1206:D1213" si="21">P1206</f>
        <v>Below 34" x 84" ecoscreen 2.5mm</v>
      </c>
      <c r="E1206" s="245" t="s">
        <v>376</v>
      </c>
      <c r="F1206" s="112" t="s">
        <v>383</v>
      </c>
      <c r="G1206" s="17"/>
      <c r="H1206" s="10"/>
      <c r="I1206" s="17"/>
      <c r="J1206" s="82"/>
      <c r="K1206" s="340"/>
      <c r="L1206" s="344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>
      <c r="A1207" s="10" t="s">
        <v>253</v>
      </c>
      <c r="B1207" s="226" t="s">
        <v>405</v>
      </c>
      <c r="C1207" s="10" t="s">
        <v>443</v>
      </c>
      <c r="D1207" s="14" t="str">
        <f t="shared" si="21"/>
        <v>Below 34" x 84" ecopoly 2.5mm</v>
      </c>
      <c r="E1207" s="155" t="s">
        <v>377</v>
      </c>
      <c r="F1207" s="14" t="s">
        <v>384</v>
      </c>
      <c r="G1207" s="17"/>
      <c r="H1207" s="10"/>
      <c r="I1207" s="17"/>
      <c r="J1207" s="82"/>
      <c r="K1207" s="340"/>
      <c r="L1207" s="344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>
      <c r="A1208" s="10" t="s">
        <v>253</v>
      </c>
      <c r="B1208" s="226" t="s">
        <v>405</v>
      </c>
      <c r="C1208" s="10" t="s">
        <v>443</v>
      </c>
      <c r="D1208" s="14" t="str">
        <f t="shared" si="21"/>
        <v>Below 34" x 84" Aerolite</v>
      </c>
      <c r="E1208" s="155" t="s">
        <v>378</v>
      </c>
      <c r="F1208" s="14"/>
      <c r="G1208" s="17"/>
      <c r="H1208" s="10"/>
      <c r="I1208" s="17"/>
      <c r="J1208" s="82"/>
      <c r="K1208" s="340"/>
      <c r="L1208" s="344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>
      <c r="A1209" s="10" t="s">
        <v>253</v>
      </c>
      <c r="B1209" s="226" t="s">
        <v>405</v>
      </c>
      <c r="C1209" s="10" t="s">
        <v>443</v>
      </c>
      <c r="D1209" s="14" t="str">
        <f t="shared" si="21"/>
        <v>Below 34" x 84" Composite</v>
      </c>
      <c r="E1209" s="155" t="s">
        <v>379</v>
      </c>
      <c r="F1209" s="14"/>
      <c r="G1209" s="17"/>
      <c r="H1209" s="10"/>
      <c r="I1209" s="17"/>
      <c r="J1209" s="82"/>
      <c r="K1209" s="340"/>
      <c r="L1209" s="344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>
      <c r="A1210" s="10" t="s">
        <v>253</v>
      </c>
      <c r="B1210" s="226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5"/>
      <c r="F1210" s="14"/>
      <c r="G1210" s="17"/>
      <c r="H1210" s="10"/>
      <c r="I1210" s="17"/>
      <c r="J1210" s="82"/>
      <c r="K1210" s="340"/>
      <c r="L1210" s="344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>
      <c r="A1211" s="10" t="s">
        <v>253</v>
      </c>
      <c r="B1211" s="226" t="s">
        <v>405</v>
      </c>
      <c r="C1211" s="10" t="s">
        <v>443</v>
      </c>
      <c r="D1211" s="14" t="str">
        <f t="shared" si="21"/>
        <v>1. Below 34" x 84" N.Clear Glass 5mm</v>
      </c>
      <c r="E1211" s="155"/>
      <c r="F1211" s="14"/>
      <c r="G1211" s="17"/>
      <c r="H1211" s="10"/>
      <c r="I1211" s="17"/>
      <c r="J1211" s="82"/>
      <c r="K1211" s="340"/>
      <c r="L1211" s="344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>
      <c r="A1212" s="10" t="s">
        <v>253</v>
      </c>
      <c r="B1212" s="226" t="s">
        <v>405</v>
      </c>
      <c r="C1212" s="10" t="s">
        <v>443</v>
      </c>
      <c r="D1212" s="14" t="str">
        <f t="shared" si="21"/>
        <v>Below 34" x 84" Tempered Glass 5mm</v>
      </c>
      <c r="E1212" s="155"/>
      <c r="F1212" s="14"/>
      <c r="G1212" s="17"/>
      <c r="H1212" s="10"/>
      <c r="I1212" s="17"/>
      <c r="J1212" s="82"/>
      <c r="K1212" s="340"/>
      <c r="L1212" s="344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>
      <c r="A1213" s="10" t="s">
        <v>253</v>
      </c>
      <c r="B1213" s="226" t="s">
        <v>405</v>
      </c>
      <c r="C1213" s="10" t="s">
        <v>443</v>
      </c>
      <c r="D1213" s="14" t="str">
        <f t="shared" si="21"/>
        <v>Below 34" x 84" Full Louvers</v>
      </c>
      <c r="E1213" s="155"/>
      <c r="F1213" s="14"/>
      <c r="G1213" s="17"/>
      <c r="H1213" s="10"/>
      <c r="I1213" s="17"/>
      <c r="J1213" s="82"/>
      <c r="K1213" s="340"/>
      <c r="L1213" s="344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>
      <c r="A1214" s="10" t="s">
        <v>253</v>
      </c>
      <c r="B1214" s="226" t="s">
        <v>405</v>
      </c>
      <c r="C1214" s="10" t="s">
        <v>443</v>
      </c>
      <c r="D1214" s="107"/>
      <c r="E1214" s="155"/>
      <c r="F1214" s="14"/>
      <c r="G1214" s="17"/>
      <c r="H1214" s="10"/>
      <c r="I1214" s="17"/>
      <c r="J1214" s="82"/>
      <c r="K1214" s="341"/>
      <c r="L1214" s="344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25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>
      <c r="A1215" s="10" t="s">
        <v>253</v>
      </c>
      <c r="B1215" s="226" t="s">
        <v>405</v>
      </c>
      <c r="C1215" s="10" t="s">
        <v>443</v>
      </c>
      <c r="D1215" s="14"/>
      <c r="E1215" s="155"/>
      <c r="F1215" s="14"/>
      <c r="G1215" s="17"/>
      <c r="H1215" s="10"/>
      <c r="I1215" s="17"/>
      <c r="J1215" s="82"/>
      <c r="K1215" s="341"/>
      <c r="L1215" s="344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>
      <c r="A1216" s="10" t="s">
        <v>253</v>
      </c>
      <c r="B1216" s="226" t="s">
        <v>405</v>
      </c>
      <c r="C1216" s="10" t="s">
        <v>443</v>
      </c>
      <c r="D1216" s="14"/>
      <c r="E1216" s="155"/>
      <c r="F1216" s="14"/>
      <c r="G1216" s="17"/>
      <c r="H1216" s="10"/>
      <c r="I1216" s="17"/>
      <c r="J1216" s="82"/>
      <c r="K1216" s="340"/>
      <c r="L1216" s="344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>
      <c r="A1217" s="10" t="s">
        <v>253</v>
      </c>
      <c r="B1217" s="226" t="s">
        <v>405</v>
      </c>
      <c r="C1217" s="10" t="s">
        <v>443</v>
      </c>
      <c r="D1217" s="14"/>
      <c r="E1217" s="155"/>
      <c r="F1217" s="14"/>
      <c r="G1217" s="17"/>
      <c r="H1217" s="10"/>
      <c r="I1217" s="17"/>
      <c r="J1217" s="82"/>
      <c r="K1217" s="340"/>
      <c r="L1217" s="344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>
      <c r="A1218" s="10" t="s">
        <v>253</v>
      </c>
      <c r="B1218" s="226" t="s">
        <v>405</v>
      </c>
      <c r="C1218" s="10" t="s">
        <v>443</v>
      </c>
      <c r="D1218" s="14"/>
      <c r="E1218" s="155"/>
      <c r="F1218" s="14"/>
      <c r="G1218" s="17"/>
      <c r="H1218" s="10"/>
      <c r="I1218" s="17"/>
      <c r="J1218" s="82"/>
      <c r="K1218" s="340"/>
      <c r="L1218" s="344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Breezway 102mm Glass Infill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>
      <c r="A1219" s="10" t="s">
        <v>253</v>
      </c>
      <c r="B1219" s="226" t="s">
        <v>405</v>
      </c>
      <c r="C1219" s="10" t="s">
        <v>443</v>
      </c>
      <c r="D1219" s="14"/>
      <c r="E1219" s="155"/>
      <c r="F1219" s="14"/>
      <c r="G1219" s="17"/>
      <c r="H1219" s="10"/>
      <c r="I1219" s="17"/>
      <c r="J1219" s="82"/>
      <c r="K1219" s="340"/>
      <c r="L1219" s="344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>
      <c r="A1220" s="10" t="s">
        <v>253</v>
      </c>
      <c r="B1220" s="226" t="s">
        <v>405</v>
      </c>
      <c r="C1220" s="10" t="s">
        <v>443</v>
      </c>
      <c r="D1220" s="14"/>
      <c r="E1220" s="155"/>
      <c r="F1220" s="14"/>
      <c r="G1220" s="17"/>
      <c r="H1220" s="10"/>
      <c r="I1220" s="17"/>
      <c r="J1220" s="82"/>
      <c r="K1220" s="340"/>
      <c r="L1220" s="344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>
      <c r="A1221" s="10" t="s">
        <v>253</v>
      </c>
      <c r="B1221" s="226" t="s">
        <v>405</v>
      </c>
      <c r="C1221" s="10" t="s">
        <v>443</v>
      </c>
      <c r="D1221" s="14"/>
      <c r="E1221" s="155"/>
      <c r="F1221" s="14"/>
      <c r="G1221" s="17"/>
      <c r="H1221" s="10"/>
      <c r="I1221" s="17"/>
      <c r="J1221" s="82"/>
      <c r="K1221" s="340"/>
      <c r="L1221" s="344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248.0625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>
      <c r="A1222" s="10" t="s">
        <v>253</v>
      </c>
      <c r="B1222" s="226" t="s">
        <v>405</v>
      </c>
      <c r="C1222" s="10" t="s">
        <v>443</v>
      </c>
      <c r="D1222" s="14"/>
      <c r="E1222" s="245"/>
      <c r="F1222" s="112"/>
      <c r="G1222" s="17"/>
      <c r="H1222" s="10"/>
      <c r="I1222" s="17"/>
      <c r="J1222" s="82"/>
      <c r="K1222" s="340"/>
      <c r="L1222" s="344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>
      <c r="A1223" s="17" t="s">
        <v>253</v>
      </c>
      <c r="B1223" s="227" t="s">
        <v>405</v>
      </c>
      <c r="C1223" s="17" t="s">
        <v>443</v>
      </c>
      <c r="D1223" s="18"/>
      <c r="E1223" s="246"/>
      <c r="F1223" s="140"/>
      <c r="G1223" s="17"/>
      <c r="H1223" s="17"/>
      <c r="I1223" s="17"/>
      <c r="J1223" s="83"/>
      <c r="K1223" s="340"/>
      <c r="L1223" s="344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>
      <c r="A1224" s="10" t="s">
        <v>253</v>
      </c>
      <c r="B1224" s="226" t="s">
        <v>442</v>
      </c>
      <c r="C1224" s="10" t="s">
        <v>444</v>
      </c>
      <c r="D1224" s="14" t="s">
        <v>445</v>
      </c>
      <c r="E1224" s="155"/>
      <c r="F1224" s="112" t="s">
        <v>382</v>
      </c>
      <c r="G1224" s="17"/>
      <c r="H1224" s="10"/>
      <c r="I1224" s="17"/>
      <c r="J1224" s="82"/>
      <c r="K1224" s="341">
        <v>0.215</v>
      </c>
      <c r="L1224" s="344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>
      <c r="A1225" s="10" t="s">
        <v>253</v>
      </c>
      <c r="B1225" s="226" t="s">
        <v>442</v>
      </c>
      <c r="C1225" s="10" t="s">
        <v>444</v>
      </c>
      <c r="D1225" s="14"/>
      <c r="E1225" s="155"/>
      <c r="F1225" s="112" t="s">
        <v>383</v>
      </c>
      <c r="G1225" s="17"/>
      <c r="H1225" s="10"/>
      <c r="I1225" s="17"/>
      <c r="J1225" s="82"/>
      <c r="K1225" s="340"/>
      <c r="L1225" s="344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78.75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>
      <c r="A1226" s="10" t="s">
        <v>253</v>
      </c>
      <c r="B1226" s="226" t="s">
        <v>442</v>
      </c>
      <c r="C1226" s="10" t="s">
        <v>444</v>
      </c>
      <c r="D1226" s="14"/>
      <c r="E1226" s="155"/>
      <c r="F1226" s="14" t="s">
        <v>384</v>
      </c>
      <c r="G1226" s="17"/>
      <c r="H1226" s="10"/>
      <c r="I1226" s="17"/>
      <c r="J1226" s="82"/>
      <c r="K1226" s="340"/>
      <c r="L1226" s="344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Breezway 102mm Glass Infill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>
      <c r="A1227" s="10" t="s">
        <v>253</v>
      </c>
      <c r="B1227" s="226" t="s">
        <v>442</v>
      </c>
      <c r="C1227" s="10" t="s">
        <v>444</v>
      </c>
      <c r="D1227" s="14"/>
      <c r="E1227" s="155"/>
      <c r="F1227" s="14"/>
      <c r="G1227" s="17"/>
      <c r="H1227" s="10"/>
      <c r="I1227" s="17"/>
      <c r="J1227" s="82"/>
      <c r="K1227" s="340"/>
      <c r="L1227" s="344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>
      <c r="A1228" s="10" t="s">
        <v>253</v>
      </c>
      <c r="B1228" s="226"/>
      <c r="C1228" s="10"/>
      <c r="D1228" s="14"/>
      <c r="E1228" s="155"/>
      <c r="F1228" s="14"/>
      <c r="G1228" s="17"/>
      <c r="H1228" s="10"/>
      <c r="I1228" s="17"/>
      <c r="J1228" s="82"/>
      <c r="K1228" s="340"/>
      <c r="L1228" s="344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>
      <c r="A1229" s="17" t="s">
        <v>253</v>
      </c>
      <c r="B1229" s="227"/>
      <c r="C1229" s="17"/>
      <c r="D1229" s="18"/>
      <c r="E1229" s="235"/>
      <c r="F1229" s="18"/>
      <c r="G1229" s="17"/>
      <c r="H1229" s="17"/>
      <c r="I1229" s="17"/>
      <c r="J1229" s="83"/>
      <c r="K1229" s="340"/>
      <c r="L1229" s="344"/>
      <c r="M1229" s="89">
        <v>25</v>
      </c>
      <c r="N1229" s="17"/>
      <c r="O1229" s="25"/>
      <c r="P1229" s="141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>
      <c r="A1230" s="10" t="s">
        <v>253</v>
      </c>
      <c r="B1230" s="226" t="s">
        <v>457</v>
      </c>
      <c r="C1230" s="10" t="s">
        <v>458</v>
      </c>
      <c r="D1230" s="14" t="str">
        <f>P1230</f>
        <v>Below 36" x 84" ecobonz 2.5mm Glossy / VACP 800 Series</v>
      </c>
      <c r="E1230" s="245" t="s">
        <v>375</v>
      </c>
      <c r="F1230" s="112" t="s">
        <v>382</v>
      </c>
      <c r="G1230" s="17"/>
      <c r="H1230" s="10"/>
      <c r="I1230" s="17"/>
      <c r="J1230" s="82"/>
      <c r="K1230" s="341">
        <v>0.35718800000000001</v>
      </c>
      <c r="L1230" s="344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>
      <c r="A1231" s="10" t="s">
        <v>253</v>
      </c>
      <c r="B1231" s="226" t="s">
        <v>457</v>
      </c>
      <c r="C1231" s="10" t="s">
        <v>458</v>
      </c>
      <c r="D1231" s="14" t="str">
        <f t="shared" ref="D1231:D1238" si="22">P1231</f>
        <v>Below 36" x 84" ecoscreen 2.5mm</v>
      </c>
      <c r="E1231" s="245" t="s">
        <v>376</v>
      </c>
      <c r="F1231" s="112" t="s">
        <v>383</v>
      </c>
      <c r="G1231" s="17"/>
      <c r="H1231" s="10"/>
      <c r="I1231" s="17"/>
      <c r="J1231" s="82"/>
      <c r="K1231" s="340"/>
      <c r="L1231" s="344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>
      <c r="A1232" s="10" t="s">
        <v>253</v>
      </c>
      <c r="B1232" s="226" t="s">
        <v>457</v>
      </c>
      <c r="C1232" s="10" t="s">
        <v>458</v>
      </c>
      <c r="D1232" s="14" t="str">
        <f t="shared" si="22"/>
        <v>Below 36" x 84" ecopoly 2.5mm</v>
      </c>
      <c r="E1232" s="155" t="s">
        <v>377</v>
      </c>
      <c r="F1232" s="14" t="s">
        <v>384</v>
      </c>
      <c r="G1232" s="17"/>
      <c r="H1232" s="10"/>
      <c r="I1232" s="17"/>
      <c r="J1232" s="82"/>
      <c r="K1232" s="340"/>
      <c r="L1232" s="344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>
      <c r="A1233" s="10" t="s">
        <v>253</v>
      </c>
      <c r="B1233" s="226" t="s">
        <v>457</v>
      </c>
      <c r="C1233" s="10" t="s">
        <v>458</v>
      </c>
      <c r="D1233" s="14" t="str">
        <f t="shared" si="22"/>
        <v>Below 36" x 84" Aerolite</v>
      </c>
      <c r="E1233" s="155" t="s">
        <v>378</v>
      </c>
      <c r="F1233" s="14"/>
      <c r="G1233" s="17"/>
      <c r="H1233" s="10"/>
      <c r="I1233" s="17"/>
      <c r="J1233" s="82"/>
      <c r="K1233" s="340"/>
      <c r="L1233" s="344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>
      <c r="A1234" s="10" t="s">
        <v>253</v>
      </c>
      <c r="B1234" s="226" t="s">
        <v>457</v>
      </c>
      <c r="C1234" s="10" t="s">
        <v>458</v>
      </c>
      <c r="D1234" s="14" t="str">
        <f t="shared" si="22"/>
        <v>1. Below 36" x 84" Composite</v>
      </c>
      <c r="E1234" s="155" t="s">
        <v>379</v>
      </c>
      <c r="F1234" s="14"/>
      <c r="G1234" s="17"/>
      <c r="H1234" s="10"/>
      <c r="I1234" s="17"/>
      <c r="J1234" s="82"/>
      <c r="K1234" s="340"/>
      <c r="L1234" s="344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>
      <c r="A1235" s="10" t="s">
        <v>253</v>
      </c>
      <c r="B1235" s="226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5"/>
      <c r="F1235" s="14"/>
      <c r="G1235" s="17"/>
      <c r="H1235" s="10"/>
      <c r="I1235" s="17"/>
      <c r="J1235" s="82"/>
      <c r="K1235" s="340"/>
      <c r="L1235" s="344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>
      <c r="A1236" s="10" t="s">
        <v>253</v>
      </c>
      <c r="B1236" s="226" t="s">
        <v>457</v>
      </c>
      <c r="C1236" s="10" t="s">
        <v>458</v>
      </c>
      <c r="D1236" s="14" t="str">
        <f t="shared" si="22"/>
        <v>Below 36" x 84" N.Clear Glass 5mm</v>
      </c>
      <c r="E1236" s="155"/>
      <c r="F1236" s="14"/>
      <c r="G1236" s="17"/>
      <c r="H1236" s="10"/>
      <c r="I1236" s="17"/>
      <c r="J1236" s="82"/>
      <c r="K1236" s="340"/>
      <c r="L1236" s="344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>
      <c r="A1237" s="10" t="s">
        <v>253</v>
      </c>
      <c r="B1237" s="226" t="s">
        <v>457</v>
      </c>
      <c r="C1237" s="10" t="s">
        <v>458</v>
      </c>
      <c r="D1237" s="14" t="str">
        <f t="shared" si="22"/>
        <v>Below 36" x 84" Tempered Glass 5mm</v>
      </c>
      <c r="E1237" s="155"/>
      <c r="F1237" s="14"/>
      <c r="G1237" s="17"/>
      <c r="H1237" s="10"/>
      <c r="I1237" s="17"/>
      <c r="J1237" s="82"/>
      <c r="K1237" s="340"/>
      <c r="L1237" s="344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>
      <c r="A1238" s="10" t="s">
        <v>253</v>
      </c>
      <c r="B1238" s="226" t="s">
        <v>457</v>
      </c>
      <c r="C1238" s="10" t="s">
        <v>458</v>
      </c>
      <c r="D1238" s="14" t="str">
        <f t="shared" si="22"/>
        <v>Below 36" x 84" Full Louvers</v>
      </c>
      <c r="E1238" s="155"/>
      <c r="F1238" s="14"/>
      <c r="G1238" s="17"/>
      <c r="H1238" s="10"/>
      <c r="I1238" s="17"/>
      <c r="J1238" s="82"/>
      <c r="K1238" s="340"/>
      <c r="L1238" s="344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>
      <c r="A1239" s="10" t="s">
        <v>253</v>
      </c>
      <c r="B1239" s="226" t="s">
        <v>457</v>
      </c>
      <c r="C1239" s="10" t="s">
        <v>458</v>
      </c>
      <c r="D1239" s="14"/>
      <c r="E1239" s="245"/>
      <c r="F1239" s="112"/>
      <c r="G1239" s="17"/>
      <c r="H1239" s="10"/>
      <c r="I1239" s="17"/>
      <c r="J1239" s="82"/>
      <c r="K1239" s="340"/>
      <c r="L1239" s="344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8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>
      <c r="A1240" s="10" t="s">
        <v>253</v>
      </c>
      <c r="B1240" s="226" t="s">
        <v>457</v>
      </c>
      <c r="C1240" s="10" t="s">
        <v>458</v>
      </c>
      <c r="D1240" s="14"/>
      <c r="E1240" s="245"/>
      <c r="F1240" s="112"/>
      <c r="G1240" s="17"/>
      <c r="H1240" s="10"/>
      <c r="I1240" s="17"/>
      <c r="J1240" s="82"/>
      <c r="K1240" s="340"/>
      <c r="L1240" s="344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>
      <c r="A1241" s="10" t="s">
        <v>253</v>
      </c>
      <c r="B1241" s="226" t="s">
        <v>457</v>
      </c>
      <c r="C1241" s="10" t="s">
        <v>458</v>
      </c>
      <c r="D1241" s="14"/>
      <c r="E1241" s="155"/>
      <c r="F1241" s="14"/>
      <c r="G1241" s="17"/>
      <c r="H1241" s="10"/>
      <c r="I1241" s="17"/>
      <c r="J1241" s="82"/>
      <c r="K1241" s="340"/>
      <c r="L1241" s="344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>
      <c r="A1242" s="10" t="s">
        <v>253</v>
      </c>
      <c r="B1242" s="226" t="s">
        <v>457</v>
      </c>
      <c r="C1242" s="10" t="s">
        <v>458</v>
      </c>
      <c r="D1242" s="14"/>
      <c r="E1242" s="155"/>
      <c r="F1242" s="14"/>
      <c r="G1242" s="17"/>
      <c r="H1242" s="10"/>
      <c r="I1242" s="17"/>
      <c r="J1242" s="82"/>
      <c r="K1242" s="340"/>
      <c r="L1242" s="344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>
      <c r="A1243" s="10" t="s">
        <v>253</v>
      </c>
      <c r="B1243" s="226" t="s">
        <v>457</v>
      </c>
      <c r="C1243" s="10" t="s">
        <v>458</v>
      </c>
      <c r="D1243" s="85"/>
      <c r="E1243" s="155"/>
      <c r="F1243" s="14"/>
      <c r="G1243" s="17"/>
      <c r="H1243" s="10"/>
      <c r="I1243" s="17"/>
      <c r="J1243" s="82"/>
      <c r="K1243" s="340"/>
      <c r="L1243" s="344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Breezway 102mm Glass Infill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>
      <c r="A1244" s="10" t="s">
        <v>253</v>
      </c>
      <c r="B1244" s="226" t="s">
        <v>457</v>
      </c>
      <c r="C1244" s="10" t="s">
        <v>458</v>
      </c>
      <c r="D1244" s="85"/>
      <c r="E1244" s="155"/>
      <c r="F1244" s="14"/>
      <c r="G1244" s="17"/>
      <c r="H1244" s="10"/>
      <c r="I1244" s="17"/>
      <c r="J1244" s="82"/>
      <c r="K1244" s="340"/>
      <c r="L1244" s="344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>
      <c r="A1245" s="10" t="s">
        <v>253</v>
      </c>
      <c r="B1245" s="226" t="s">
        <v>457</v>
      </c>
      <c r="C1245" s="10" t="s">
        <v>458</v>
      </c>
      <c r="D1245" s="21"/>
      <c r="E1245" s="155"/>
      <c r="F1245" s="14"/>
      <c r="G1245" s="17"/>
      <c r="H1245" s="10"/>
      <c r="I1245" s="17"/>
      <c r="J1245" s="82"/>
      <c r="K1245" s="340"/>
      <c r="L1245" s="344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>
      <c r="A1246" s="10" t="s">
        <v>253</v>
      </c>
      <c r="B1246" s="226" t="s">
        <v>457</v>
      </c>
      <c r="C1246" s="10" t="s">
        <v>458</v>
      </c>
      <c r="D1246" s="21"/>
      <c r="E1246" s="155"/>
      <c r="F1246" s="14"/>
      <c r="G1246" s="17"/>
      <c r="H1246" s="10"/>
      <c r="I1246" s="17"/>
      <c r="J1246" s="82"/>
      <c r="K1246" s="340"/>
      <c r="L1246" s="344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>
      <c r="A1247" s="10"/>
      <c r="B1247" s="226"/>
      <c r="C1247" s="10"/>
      <c r="D1247" s="252"/>
      <c r="E1247" s="155"/>
      <c r="F1247" s="14"/>
      <c r="G1247" s="17"/>
      <c r="H1247" s="10"/>
      <c r="I1247" s="17"/>
      <c r="J1247" s="82"/>
      <c r="K1247" s="340"/>
      <c r="L1247" s="344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>
      <c r="A1248" s="10"/>
      <c r="B1248" s="226"/>
      <c r="C1248" s="10"/>
      <c r="D1248" s="14"/>
      <c r="E1248" s="155"/>
      <c r="F1248" s="10"/>
      <c r="G1248" s="17"/>
      <c r="H1248" s="10"/>
      <c r="I1248" s="17"/>
      <c r="J1248" s="82"/>
      <c r="K1248" s="340"/>
      <c r="L1248" s="344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>
      <c r="A1249" s="10"/>
      <c r="B1249" s="226"/>
      <c r="C1249" s="10"/>
      <c r="D1249" s="252"/>
      <c r="E1249" s="155"/>
      <c r="F1249" s="14"/>
      <c r="G1249" s="17"/>
      <c r="H1249" s="10"/>
      <c r="I1249" s="17"/>
      <c r="J1249" s="82"/>
      <c r="K1249" s="340"/>
      <c r="L1249" s="344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>
      <c r="A1250" s="10"/>
      <c r="B1250" s="226"/>
      <c r="C1250" s="10"/>
      <c r="D1250" s="14"/>
      <c r="E1250" s="155"/>
      <c r="F1250" s="14"/>
      <c r="G1250" s="17"/>
      <c r="H1250" s="10"/>
      <c r="I1250" s="17"/>
      <c r="J1250" s="82"/>
      <c r="K1250" s="340"/>
      <c r="L1250" s="344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>
      <c r="A1251" s="10"/>
      <c r="B1251" s="226"/>
      <c r="C1251" s="10"/>
      <c r="D1251" s="14"/>
      <c r="E1251" s="155"/>
      <c r="F1251" s="14"/>
      <c r="G1251" s="17"/>
      <c r="H1251" s="10"/>
      <c r="I1251" s="17"/>
      <c r="J1251" s="82"/>
      <c r="K1251" s="340"/>
      <c r="L1251" s="344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>
      <c r="A1252" s="10"/>
      <c r="B1252" s="226"/>
      <c r="C1252" s="10"/>
      <c r="D1252" s="14"/>
      <c r="E1252" s="155"/>
      <c r="F1252" s="14"/>
      <c r="G1252" s="17"/>
      <c r="H1252" s="10"/>
      <c r="I1252" s="17"/>
      <c r="J1252" s="82"/>
      <c r="K1252" s="340"/>
      <c r="L1252" s="344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>
      <c r="A1253" s="17"/>
      <c r="B1253" s="227"/>
      <c r="C1253" s="17"/>
      <c r="D1253" s="18"/>
      <c r="E1253" s="235"/>
      <c r="F1253" s="18"/>
      <c r="G1253" s="17"/>
      <c r="H1253" s="17"/>
      <c r="I1253" s="17"/>
      <c r="J1253" s="83"/>
      <c r="K1253" s="340"/>
      <c r="L1253" s="344"/>
      <c r="M1253" s="80" t="s">
        <v>447</v>
      </c>
      <c r="N1253" s="17"/>
      <c r="O1253" s="25"/>
      <c r="P1253" s="141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>
      <c r="A1254" s="10" t="s">
        <v>253</v>
      </c>
      <c r="B1254" s="226" t="s">
        <v>331</v>
      </c>
      <c r="C1254" s="10" t="s">
        <v>686</v>
      </c>
      <c r="D1254" s="85" t="s">
        <v>536</v>
      </c>
      <c r="E1254" s="238" t="s">
        <v>687</v>
      </c>
      <c r="F1254" s="85" t="s">
        <v>472</v>
      </c>
      <c r="G1254" s="140" t="s">
        <v>382</v>
      </c>
      <c r="H1254" s="10"/>
      <c r="I1254" s="17"/>
      <c r="J1254" s="82"/>
      <c r="K1254" s="341">
        <v>0.24453800000000001</v>
      </c>
      <c r="L1254" s="344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>
      <c r="A1255" s="10" t="s">
        <v>253</v>
      </c>
      <c r="B1255" s="226" t="s">
        <v>331</v>
      </c>
      <c r="C1255" s="10" t="s">
        <v>686</v>
      </c>
      <c r="D1255" s="85" t="s">
        <v>536</v>
      </c>
      <c r="E1255" s="238" t="s">
        <v>687</v>
      </c>
      <c r="F1255" s="85" t="s">
        <v>473</v>
      </c>
      <c r="G1255" s="18" t="s">
        <v>384</v>
      </c>
      <c r="H1255" s="10"/>
      <c r="I1255" s="17"/>
      <c r="J1255" s="82"/>
      <c r="K1255" s="340"/>
      <c r="L1255" s="344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>
      <c r="A1256" s="10" t="s">
        <v>253</v>
      </c>
      <c r="B1256" s="226" t="s">
        <v>331</v>
      </c>
      <c r="C1256" s="10" t="s">
        <v>686</v>
      </c>
      <c r="D1256" s="85" t="s">
        <v>536</v>
      </c>
      <c r="E1256" s="238" t="s">
        <v>687</v>
      </c>
      <c r="F1256" s="21" t="s">
        <v>474</v>
      </c>
      <c r="G1256" s="18"/>
      <c r="H1256" s="10"/>
      <c r="I1256" s="17"/>
      <c r="J1256" s="82"/>
      <c r="K1256" s="340"/>
      <c r="L1256" s="344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>
      <c r="A1257" s="10" t="s">
        <v>253</v>
      </c>
      <c r="B1257" s="226" t="s">
        <v>331</v>
      </c>
      <c r="C1257" s="10" t="s">
        <v>686</v>
      </c>
      <c r="D1257" s="85" t="s">
        <v>536</v>
      </c>
      <c r="E1257" s="238" t="s">
        <v>687</v>
      </c>
      <c r="F1257" s="21" t="s">
        <v>475</v>
      </c>
      <c r="G1257" s="17"/>
      <c r="H1257" s="10"/>
      <c r="I1257" s="17"/>
      <c r="J1257" s="82"/>
      <c r="K1257" s="340"/>
      <c r="L1257" s="344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>
      <c r="A1258" s="10" t="s">
        <v>253</v>
      </c>
      <c r="B1258" s="226" t="s">
        <v>331</v>
      </c>
      <c r="C1258" s="10" t="s">
        <v>686</v>
      </c>
      <c r="D1258" s="85" t="s">
        <v>536</v>
      </c>
      <c r="E1258" s="238" t="s">
        <v>687</v>
      </c>
      <c r="F1258" s="5" t="s">
        <v>476</v>
      </c>
      <c r="G1258" s="17"/>
      <c r="H1258" s="10"/>
      <c r="I1258" s="17"/>
      <c r="J1258" s="82"/>
      <c r="K1258" s="340"/>
      <c r="L1258" s="344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>
      <c r="A1259" s="10" t="s">
        <v>253</v>
      </c>
      <c r="B1259" s="226" t="s">
        <v>331</v>
      </c>
      <c r="C1259" s="10" t="s">
        <v>686</v>
      </c>
      <c r="D1259" s="85" t="s">
        <v>536</v>
      </c>
      <c r="E1259" s="238" t="s">
        <v>687</v>
      </c>
      <c r="F1259" s="14" t="s">
        <v>477</v>
      </c>
      <c r="G1259" s="17"/>
      <c r="H1259" s="10"/>
      <c r="I1259" s="17"/>
      <c r="J1259" s="82"/>
      <c r="K1259" s="340"/>
      <c r="L1259" s="344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>
      <c r="A1260" s="10" t="s">
        <v>253</v>
      </c>
      <c r="B1260" s="226" t="s">
        <v>331</v>
      </c>
      <c r="C1260" s="10" t="s">
        <v>686</v>
      </c>
      <c r="D1260" s="85" t="s">
        <v>536</v>
      </c>
      <c r="E1260" s="238" t="s">
        <v>687</v>
      </c>
      <c r="F1260" s="5" t="s">
        <v>478</v>
      </c>
      <c r="G1260" s="17"/>
      <c r="H1260" s="10"/>
      <c r="I1260" s="17"/>
      <c r="J1260" s="82"/>
      <c r="K1260" s="340"/>
      <c r="L1260" s="344"/>
      <c r="M1260" s="88">
        <v>7</v>
      </c>
      <c r="N1260" s="146" t="s">
        <v>176</v>
      </c>
      <c r="O1260" s="147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>
      <c r="A1261" s="17" t="s">
        <v>253</v>
      </c>
      <c r="B1261" s="227" t="s">
        <v>331</v>
      </c>
      <c r="C1261" s="17" t="s">
        <v>686</v>
      </c>
      <c r="D1261" s="166" t="s">
        <v>536</v>
      </c>
      <c r="E1261" s="247"/>
      <c r="F1261" s="140"/>
      <c r="G1261" s="140"/>
      <c r="H1261" s="17"/>
      <c r="I1261" s="17"/>
      <c r="J1261" s="83"/>
      <c r="K1261" s="341"/>
      <c r="L1261" s="344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19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>
      <c r="A1262" s="10" t="s">
        <v>253</v>
      </c>
      <c r="B1262" s="226" t="s">
        <v>331</v>
      </c>
      <c r="C1262" s="10" t="s">
        <v>686</v>
      </c>
      <c r="D1262" s="85" t="s">
        <v>536</v>
      </c>
      <c r="E1262" s="238" t="s">
        <v>479</v>
      </c>
      <c r="F1262" s="85" t="s">
        <v>480</v>
      </c>
      <c r="G1262" s="140" t="s">
        <v>382</v>
      </c>
      <c r="H1262" s="10"/>
      <c r="I1262" s="17"/>
      <c r="J1262" s="82"/>
      <c r="K1262" s="340"/>
      <c r="L1262" s="344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>
      <c r="A1263" s="10" t="s">
        <v>253</v>
      </c>
      <c r="B1263" s="226" t="s">
        <v>331</v>
      </c>
      <c r="C1263" s="10" t="s">
        <v>686</v>
      </c>
      <c r="D1263" s="85" t="s">
        <v>536</v>
      </c>
      <c r="E1263" s="238" t="s">
        <v>479</v>
      </c>
      <c r="F1263" s="85" t="s">
        <v>481</v>
      </c>
      <c r="G1263" s="18" t="s">
        <v>384</v>
      </c>
      <c r="H1263" s="10"/>
      <c r="I1263" s="17"/>
      <c r="J1263" s="82"/>
      <c r="K1263" s="341"/>
      <c r="L1263" s="344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>
      <c r="A1264" s="10" t="s">
        <v>253</v>
      </c>
      <c r="B1264" s="226" t="s">
        <v>331</v>
      </c>
      <c r="C1264" s="10" t="s">
        <v>686</v>
      </c>
      <c r="D1264" s="85" t="s">
        <v>536</v>
      </c>
      <c r="E1264" s="238" t="s">
        <v>479</v>
      </c>
      <c r="F1264" s="21" t="s">
        <v>482</v>
      </c>
      <c r="G1264" s="17"/>
      <c r="H1264" s="10"/>
      <c r="I1264" s="17"/>
      <c r="J1264" s="82"/>
      <c r="K1264" s="341"/>
      <c r="L1264" s="344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>
      <c r="A1265" s="10" t="s">
        <v>253</v>
      </c>
      <c r="B1265" s="226" t="s">
        <v>331</v>
      </c>
      <c r="C1265" s="10" t="s">
        <v>686</v>
      </c>
      <c r="D1265" s="85" t="s">
        <v>536</v>
      </c>
      <c r="E1265" s="238" t="s">
        <v>479</v>
      </c>
      <c r="F1265" s="21" t="s">
        <v>483</v>
      </c>
      <c r="G1265" s="17"/>
      <c r="H1265" s="10"/>
      <c r="I1265" s="17"/>
      <c r="J1265" s="82"/>
      <c r="K1265" s="340"/>
      <c r="L1265" s="344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>
      <c r="A1266" s="10" t="s">
        <v>253</v>
      </c>
      <c r="B1266" s="226" t="s">
        <v>331</v>
      </c>
      <c r="C1266" s="10" t="s">
        <v>686</v>
      </c>
      <c r="D1266" s="85" t="s">
        <v>536</v>
      </c>
      <c r="E1266" s="238" t="s">
        <v>479</v>
      </c>
      <c r="F1266" s="5" t="s">
        <v>484</v>
      </c>
      <c r="G1266" s="17"/>
      <c r="H1266" s="10"/>
      <c r="I1266" s="17"/>
      <c r="J1266" s="82"/>
      <c r="K1266" s="340"/>
      <c r="L1266" s="344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>
      <c r="A1267" s="17" t="s">
        <v>253</v>
      </c>
      <c r="B1267" s="227" t="s">
        <v>331</v>
      </c>
      <c r="C1267" s="17" t="s">
        <v>686</v>
      </c>
      <c r="D1267" s="166" t="s">
        <v>536</v>
      </c>
      <c r="E1267" s="156"/>
      <c r="F1267" s="17"/>
      <c r="G1267" s="17"/>
      <c r="H1267" s="17"/>
      <c r="I1267" s="17"/>
      <c r="J1267" s="83"/>
      <c r="K1267" s="340"/>
      <c r="L1267" s="344"/>
      <c r="M1267" s="89"/>
      <c r="N1267" s="17"/>
      <c r="O1267" s="25"/>
      <c r="P1267" s="119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>
      <c r="A1268" s="10" t="s">
        <v>253</v>
      </c>
      <c r="B1268" s="226" t="s">
        <v>331</v>
      </c>
      <c r="C1268" s="10" t="s">
        <v>686</v>
      </c>
      <c r="D1268" s="85" t="s">
        <v>536</v>
      </c>
      <c r="E1268" s="157" t="s">
        <v>535</v>
      </c>
      <c r="F1268" s="5" t="s">
        <v>485</v>
      </c>
      <c r="G1268" s="140" t="s">
        <v>382</v>
      </c>
      <c r="H1268" s="10"/>
      <c r="I1268" s="17"/>
      <c r="J1268" s="82"/>
      <c r="K1268" s="340"/>
      <c r="L1268" s="344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>
      <c r="A1269" s="10" t="s">
        <v>253</v>
      </c>
      <c r="B1269" s="226" t="s">
        <v>331</v>
      </c>
      <c r="C1269" s="10" t="s">
        <v>686</v>
      </c>
      <c r="D1269" s="85" t="s">
        <v>536</v>
      </c>
      <c r="E1269" s="157" t="s">
        <v>535</v>
      </c>
      <c r="F1269" s="155" t="s">
        <v>486</v>
      </c>
      <c r="G1269" s="18" t="s">
        <v>384</v>
      </c>
      <c r="H1269" s="10"/>
      <c r="I1269" s="17"/>
      <c r="J1269" s="82"/>
      <c r="K1269" s="340"/>
      <c r="L1269" s="344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>
      <c r="A1270" s="10" t="s">
        <v>253</v>
      </c>
      <c r="B1270" s="226" t="s">
        <v>331</v>
      </c>
      <c r="C1270" s="10" t="s">
        <v>686</v>
      </c>
      <c r="D1270" s="85" t="s">
        <v>536</v>
      </c>
      <c r="E1270" s="157" t="s">
        <v>535</v>
      </c>
      <c r="F1270" s="155" t="s">
        <v>487</v>
      </c>
      <c r="G1270" s="17"/>
      <c r="H1270" s="10"/>
      <c r="I1270" s="17"/>
      <c r="J1270" s="82"/>
      <c r="K1270" s="340"/>
      <c r="L1270" s="344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>
      <c r="A1271" s="10" t="s">
        <v>253</v>
      </c>
      <c r="B1271" s="226" t="s">
        <v>331</v>
      </c>
      <c r="C1271" s="10" t="s">
        <v>686</v>
      </c>
      <c r="D1271" s="85" t="s">
        <v>536</v>
      </c>
      <c r="E1271" s="157" t="s">
        <v>535</v>
      </c>
      <c r="F1271" s="155" t="s">
        <v>488</v>
      </c>
      <c r="G1271" s="17"/>
      <c r="H1271" s="10"/>
      <c r="I1271" s="17"/>
      <c r="J1271" s="82"/>
      <c r="K1271" s="340"/>
      <c r="L1271" s="344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>
      <c r="A1272" s="10" t="s">
        <v>253</v>
      </c>
      <c r="B1272" s="226" t="s">
        <v>331</v>
      </c>
      <c r="C1272" s="10" t="s">
        <v>686</v>
      </c>
      <c r="D1272" s="85" t="s">
        <v>536</v>
      </c>
      <c r="E1272" s="157" t="s">
        <v>535</v>
      </c>
      <c r="F1272" s="155" t="s">
        <v>489</v>
      </c>
      <c r="G1272" s="17"/>
      <c r="H1272" s="10"/>
      <c r="I1272" s="17"/>
      <c r="J1272" s="82"/>
      <c r="K1272" s="340"/>
      <c r="L1272" s="344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>
      <c r="A1273" s="10" t="s">
        <v>253</v>
      </c>
      <c r="B1273" s="226" t="s">
        <v>331</v>
      </c>
      <c r="C1273" s="10" t="s">
        <v>686</v>
      </c>
      <c r="D1273" s="85" t="s">
        <v>536</v>
      </c>
      <c r="E1273" s="157" t="s">
        <v>535</v>
      </c>
      <c r="F1273" s="155" t="s">
        <v>490</v>
      </c>
      <c r="G1273" s="17"/>
      <c r="H1273" s="10"/>
      <c r="I1273" s="17"/>
      <c r="J1273" s="82"/>
      <c r="K1273" s="341"/>
      <c r="L1273" s="344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>
      <c r="A1274" s="10" t="s">
        <v>253</v>
      </c>
      <c r="B1274" s="226" t="s">
        <v>331</v>
      </c>
      <c r="C1274" s="10" t="s">
        <v>686</v>
      </c>
      <c r="D1274" s="85" t="s">
        <v>536</v>
      </c>
      <c r="E1274" s="157" t="s">
        <v>535</v>
      </c>
      <c r="F1274" s="155" t="s">
        <v>491</v>
      </c>
      <c r="G1274" s="17"/>
      <c r="H1274" s="10"/>
      <c r="I1274" s="17"/>
      <c r="J1274" s="82"/>
      <c r="K1274" s="340"/>
      <c r="L1274" s="344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>
      <c r="A1275" s="17" t="s">
        <v>253</v>
      </c>
      <c r="B1275" s="227" t="s">
        <v>331</v>
      </c>
      <c r="C1275" s="17" t="s">
        <v>686</v>
      </c>
      <c r="D1275" s="166" t="s">
        <v>536</v>
      </c>
      <c r="E1275" s="156"/>
      <c r="F1275" s="156"/>
      <c r="G1275" s="17"/>
      <c r="H1275" s="17"/>
      <c r="I1275" s="17"/>
      <c r="J1275" s="83"/>
      <c r="K1275" s="340"/>
      <c r="L1275" s="344"/>
      <c r="M1275" s="89"/>
      <c r="N1275" s="17"/>
      <c r="O1275" s="25"/>
      <c r="P1275" s="119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>
      <c r="A1276" s="10" t="s">
        <v>253</v>
      </c>
      <c r="B1276" s="226" t="s">
        <v>331</v>
      </c>
      <c r="C1276" s="10" t="s">
        <v>686</v>
      </c>
      <c r="D1276" s="85" t="s">
        <v>536</v>
      </c>
      <c r="E1276" s="155" t="s">
        <v>534</v>
      </c>
      <c r="F1276" s="155" t="s">
        <v>492</v>
      </c>
      <c r="G1276" s="140" t="s">
        <v>382</v>
      </c>
      <c r="H1276" s="10"/>
      <c r="I1276" s="17"/>
      <c r="J1276" s="82"/>
      <c r="K1276" s="340"/>
      <c r="L1276" s="344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>
      <c r="A1277" s="10" t="s">
        <v>253</v>
      </c>
      <c r="B1277" s="226" t="s">
        <v>331</v>
      </c>
      <c r="C1277" s="10" t="s">
        <v>686</v>
      </c>
      <c r="D1277" s="85" t="s">
        <v>536</v>
      </c>
      <c r="E1277" s="155" t="s">
        <v>534</v>
      </c>
      <c r="F1277" s="155" t="s">
        <v>493</v>
      </c>
      <c r="G1277" s="18" t="s">
        <v>384</v>
      </c>
      <c r="H1277" s="10"/>
      <c r="I1277" s="17"/>
      <c r="J1277" s="82"/>
      <c r="K1277" s="340"/>
      <c r="L1277" s="344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>
      <c r="A1278" s="10" t="s">
        <v>253</v>
      </c>
      <c r="B1278" s="226" t="s">
        <v>331</v>
      </c>
      <c r="C1278" s="10" t="s">
        <v>686</v>
      </c>
      <c r="D1278" s="85" t="s">
        <v>536</v>
      </c>
      <c r="E1278" s="155" t="s">
        <v>534</v>
      </c>
      <c r="F1278" s="155" t="s">
        <v>494</v>
      </c>
      <c r="G1278" s="17"/>
      <c r="H1278" s="10"/>
      <c r="I1278" s="17"/>
      <c r="J1278" s="82"/>
      <c r="K1278" s="340"/>
      <c r="L1278" s="344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>
      <c r="A1279" s="10" t="s">
        <v>253</v>
      </c>
      <c r="B1279" s="226" t="s">
        <v>331</v>
      </c>
      <c r="C1279" s="10" t="s">
        <v>686</v>
      </c>
      <c r="D1279" s="85" t="s">
        <v>536</v>
      </c>
      <c r="E1279" s="155" t="s">
        <v>534</v>
      </c>
      <c r="F1279" s="157" t="s">
        <v>495</v>
      </c>
      <c r="G1279" s="17"/>
      <c r="H1279" s="10"/>
      <c r="I1279" s="17"/>
      <c r="J1279" s="82"/>
      <c r="K1279" s="341"/>
      <c r="L1279" s="344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>
      <c r="A1280" s="10" t="s">
        <v>253</v>
      </c>
      <c r="B1280" s="226" t="s">
        <v>331</v>
      </c>
      <c r="C1280" s="10" t="s">
        <v>686</v>
      </c>
      <c r="D1280" s="85" t="s">
        <v>536</v>
      </c>
      <c r="E1280" s="155" t="s">
        <v>534</v>
      </c>
      <c r="F1280" s="155" t="s">
        <v>496</v>
      </c>
      <c r="G1280" s="17"/>
      <c r="H1280" s="10"/>
      <c r="I1280" s="17"/>
      <c r="J1280" s="82"/>
      <c r="K1280" s="340"/>
      <c r="L1280" s="344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>
      <c r="A1281" s="10" t="s">
        <v>253</v>
      </c>
      <c r="B1281" s="226" t="s">
        <v>331</v>
      </c>
      <c r="C1281" s="10" t="s">
        <v>686</v>
      </c>
      <c r="D1281" s="85" t="s">
        <v>536</v>
      </c>
      <c r="E1281" s="155" t="s">
        <v>534</v>
      </c>
      <c r="F1281" s="158" t="s">
        <v>497</v>
      </c>
      <c r="G1281" s="17"/>
      <c r="H1281" s="10"/>
      <c r="I1281" s="17"/>
      <c r="J1281" s="82"/>
      <c r="K1281" s="340"/>
      <c r="L1281" s="344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>
      <c r="A1282" s="10" t="s">
        <v>253</v>
      </c>
      <c r="B1282" s="226" t="s">
        <v>331</v>
      </c>
      <c r="C1282" s="10" t="s">
        <v>686</v>
      </c>
      <c r="D1282" s="85" t="s">
        <v>536</v>
      </c>
      <c r="E1282" s="155" t="s">
        <v>534</v>
      </c>
      <c r="F1282" s="159" t="s">
        <v>498</v>
      </c>
      <c r="G1282" s="17"/>
      <c r="H1282" s="10"/>
      <c r="I1282" s="17"/>
      <c r="J1282" s="82"/>
      <c r="K1282" s="340"/>
      <c r="L1282" s="344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>
      <c r="A1283" s="100" t="s">
        <v>253</v>
      </c>
      <c r="B1283" s="229" t="s">
        <v>331</v>
      </c>
      <c r="C1283" s="100" t="s">
        <v>686</v>
      </c>
      <c r="D1283" s="160" t="s">
        <v>536</v>
      </c>
      <c r="E1283" s="248"/>
      <c r="F1283" s="100"/>
      <c r="G1283" s="17"/>
      <c r="H1283" s="100"/>
      <c r="I1283" s="17"/>
      <c r="J1283" s="149"/>
      <c r="K1283" s="340"/>
      <c r="L1283" s="344"/>
      <c r="M1283" s="150"/>
      <c r="N1283" s="17"/>
      <c r="O1283" s="25"/>
      <c r="P1283" s="119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>
      <c r="A1284" s="10" t="s">
        <v>253</v>
      </c>
      <c r="B1284" s="226" t="s">
        <v>331</v>
      </c>
      <c r="C1284" s="10" t="s">
        <v>686</v>
      </c>
      <c r="D1284" s="14" t="s">
        <v>537</v>
      </c>
      <c r="E1284" s="155" t="s">
        <v>687</v>
      </c>
      <c r="F1284" s="14" t="s">
        <v>499</v>
      </c>
      <c r="G1284" s="140" t="s">
        <v>382</v>
      </c>
      <c r="H1284" s="10"/>
      <c r="I1284" s="17"/>
      <c r="J1284" s="82"/>
      <c r="K1284" s="341">
        <v>0.24453800000000001</v>
      </c>
      <c r="L1284" s="344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>
      <c r="A1285" s="10" t="s">
        <v>253</v>
      </c>
      <c r="B1285" s="226" t="s">
        <v>331</v>
      </c>
      <c r="C1285" s="10" t="s">
        <v>686</v>
      </c>
      <c r="D1285" s="14" t="s">
        <v>537</v>
      </c>
      <c r="E1285" s="155" t="s">
        <v>687</v>
      </c>
      <c r="F1285" s="14" t="s">
        <v>500</v>
      </c>
      <c r="G1285" s="18" t="s">
        <v>384</v>
      </c>
      <c r="H1285" s="10"/>
      <c r="I1285" s="17"/>
      <c r="J1285" s="82"/>
      <c r="K1285" s="340"/>
      <c r="L1285" s="344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>
      <c r="A1286" s="10" t="s">
        <v>253</v>
      </c>
      <c r="B1286" s="226" t="s">
        <v>331</v>
      </c>
      <c r="C1286" s="10" t="s">
        <v>686</v>
      </c>
      <c r="D1286" s="14" t="s">
        <v>537</v>
      </c>
      <c r="E1286" s="155" t="s">
        <v>687</v>
      </c>
      <c r="F1286" s="14" t="s">
        <v>501</v>
      </c>
      <c r="G1286" s="17"/>
      <c r="H1286" s="10"/>
      <c r="I1286" s="17"/>
      <c r="J1286" s="82"/>
      <c r="K1286" s="340"/>
      <c r="L1286" s="344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>
      <c r="A1287" s="10" t="s">
        <v>253</v>
      </c>
      <c r="B1287" s="226" t="s">
        <v>331</v>
      </c>
      <c r="C1287" s="10" t="s">
        <v>686</v>
      </c>
      <c r="D1287" s="14" t="s">
        <v>537</v>
      </c>
      <c r="E1287" s="155" t="s">
        <v>687</v>
      </c>
      <c r="F1287" s="14" t="s">
        <v>502</v>
      </c>
      <c r="G1287" s="17"/>
      <c r="H1287" s="10"/>
      <c r="I1287" s="17"/>
      <c r="J1287" s="82"/>
      <c r="K1287" s="340"/>
      <c r="L1287" s="344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>
      <c r="A1288" s="10" t="s">
        <v>253</v>
      </c>
      <c r="B1288" s="226" t="s">
        <v>331</v>
      </c>
      <c r="C1288" s="10" t="s">
        <v>686</v>
      </c>
      <c r="D1288" s="14" t="s">
        <v>537</v>
      </c>
      <c r="E1288" s="155" t="s">
        <v>687</v>
      </c>
      <c r="F1288" s="14" t="s">
        <v>503</v>
      </c>
      <c r="G1288" s="17"/>
      <c r="H1288" s="10"/>
      <c r="I1288" s="17"/>
      <c r="J1288" s="82"/>
      <c r="K1288" s="340"/>
      <c r="L1288" s="344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>
      <c r="A1289" s="10" t="s">
        <v>253</v>
      </c>
      <c r="B1289" s="226" t="s">
        <v>331</v>
      </c>
      <c r="C1289" s="10" t="s">
        <v>686</v>
      </c>
      <c r="D1289" s="14" t="s">
        <v>537</v>
      </c>
      <c r="E1289" s="155" t="s">
        <v>687</v>
      </c>
      <c r="F1289" s="36" t="s">
        <v>504</v>
      </c>
      <c r="G1289" s="17"/>
      <c r="H1289" s="10"/>
      <c r="I1289" s="17"/>
      <c r="J1289" s="82"/>
      <c r="K1289" s="340"/>
      <c r="L1289" s="344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>
      <c r="A1290" s="10" t="s">
        <v>253</v>
      </c>
      <c r="B1290" s="226" t="s">
        <v>331</v>
      </c>
      <c r="C1290" s="10" t="s">
        <v>686</v>
      </c>
      <c r="D1290" s="14" t="s">
        <v>537</v>
      </c>
      <c r="E1290" s="155" t="s">
        <v>687</v>
      </c>
      <c r="F1290" s="14" t="s">
        <v>505</v>
      </c>
      <c r="G1290" s="17"/>
      <c r="H1290" s="10"/>
      <c r="I1290" s="17"/>
      <c r="J1290" s="82"/>
      <c r="K1290" s="340"/>
      <c r="L1290" s="344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>
      <c r="A1291" s="17" t="s">
        <v>253</v>
      </c>
      <c r="B1291" s="227" t="s">
        <v>331</v>
      </c>
      <c r="C1291" s="17" t="s">
        <v>686</v>
      </c>
      <c r="D1291" s="18" t="s">
        <v>537</v>
      </c>
      <c r="E1291" s="247"/>
      <c r="F1291" s="140"/>
      <c r="G1291" s="17"/>
      <c r="H1291" s="17"/>
      <c r="I1291" s="17"/>
      <c r="J1291" s="83"/>
      <c r="K1291" s="341"/>
      <c r="L1291" s="344"/>
      <c r="M1291" s="89"/>
      <c r="N1291" s="17" t="s">
        <v>176</v>
      </c>
      <c r="O1291" s="25" t="str">
        <f>IF(OR(Enginuity!$A$22="Supply &amp; Install",Enginuity!$A$22="Self Collect"),70,"")</f>
        <v/>
      </c>
      <c r="P1291" s="119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>
      <c r="A1292" s="10" t="s">
        <v>253</v>
      </c>
      <c r="B1292" s="226" t="s">
        <v>331</v>
      </c>
      <c r="C1292" s="10" t="s">
        <v>686</v>
      </c>
      <c r="D1292" s="14" t="s">
        <v>537</v>
      </c>
      <c r="E1292" s="155" t="s">
        <v>479</v>
      </c>
      <c r="F1292" s="14" t="s">
        <v>506</v>
      </c>
      <c r="G1292" s="140" t="s">
        <v>382</v>
      </c>
      <c r="H1292" s="10"/>
      <c r="I1292" s="17"/>
      <c r="J1292" s="82"/>
      <c r="K1292" s="340"/>
      <c r="L1292" s="344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>
      <c r="A1293" s="10" t="s">
        <v>253</v>
      </c>
      <c r="B1293" s="226" t="s">
        <v>331</v>
      </c>
      <c r="C1293" s="10" t="s">
        <v>686</v>
      </c>
      <c r="D1293" s="14" t="s">
        <v>537</v>
      </c>
      <c r="E1293" s="155" t="s">
        <v>479</v>
      </c>
      <c r="F1293" s="14" t="s">
        <v>507</v>
      </c>
      <c r="G1293" s="18" t="s">
        <v>384</v>
      </c>
      <c r="H1293" s="10"/>
      <c r="I1293" s="17"/>
      <c r="J1293" s="82"/>
      <c r="K1293" s="340"/>
      <c r="L1293" s="344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>
      <c r="A1294" s="10" t="s">
        <v>253</v>
      </c>
      <c r="B1294" s="226" t="s">
        <v>331</v>
      </c>
      <c r="C1294" s="10" t="s">
        <v>686</v>
      </c>
      <c r="D1294" s="14" t="s">
        <v>537</v>
      </c>
      <c r="E1294" s="155" t="s">
        <v>479</v>
      </c>
      <c r="F1294" s="14" t="s">
        <v>508</v>
      </c>
      <c r="G1294" s="17"/>
      <c r="H1294" s="10"/>
      <c r="I1294" s="17"/>
      <c r="J1294" s="82"/>
      <c r="K1294" s="340"/>
      <c r="L1294" s="344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>
      <c r="A1295" s="10" t="s">
        <v>253</v>
      </c>
      <c r="B1295" s="226" t="s">
        <v>331</v>
      </c>
      <c r="C1295" s="10" t="s">
        <v>686</v>
      </c>
      <c r="D1295" s="14" t="s">
        <v>537</v>
      </c>
      <c r="E1295" s="155" t="s">
        <v>479</v>
      </c>
      <c r="F1295" s="14" t="s">
        <v>509</v>
      </c>
      <c r="G1295" s="17"/>
      <c r="H1295" s="10"/>
      <c r="I1295" s="17"/>
      <c r="J1295" s="82"/>
      <c r="K1295" s="340"/>
      <c r="L1295" s="344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>
      <c r="A1296" s="10" t="s">
        <v>253</v>
      </c>
      <c r="B1296" s="226" t="s">
        <v>331</v>
      </c>
      <c r="C1296" s="10" t="s">
        <v>686</v>
      </c>
      <c r="D1296" s="14" t="s">
        <v>537</v>
      </c>
      <c r="E1296" s="155" t="s">
        <v>479</v>
      </c>
      <c r="F1296" s="21" t="s">
        <v>510</v>
      </c>
      <c r="G1296" s="17"/>
      <c r="H1296" s="10"/>
      <c r="I1296" s="17"/>
      <c r="J1296" s="82"/>
      <c r="K1296" s="340"/>
      <c r="L1296" s="344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>
      <c r="A1297" s="17" t="s">
        <v>253</v>
      </c>
      <c r="B1297" s="227" t="s">
        <v>331</v>
      </c>
      <c r="C1297" s="17" t="s">
        <v>686</v>
      </c>
      <c r="D1297" s="18" t="s">
        <v>537</v>
      </c>
      <c r="E1297" s="156"/>
      <c r="F1297" s="17"/>
      <c r="G1297" s="17"/>
      <c r="H1297" s="17"/>
      <c r="I1297" s="17"/>
      <c r="J1297" s="83"/>
      <c r="K1297" s="340"/>
      <c r="L1297" s="344"/>
      <c r="M1297" s="89"/>
      <c r="N1297" s="17"/>
      <c r="O1297" s="25"/>
      <c r="P1297" s="119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>
      <c r="A1298" s="10" t="s">
        <v>253</v>
      </c>
      <c r="B1298" s="226" t="s">
        <v>331</v>
      </c>
      <c r="C1298" s="10" t="s">
        <v>686</v>
      </c>
      <c r="D1298" s="14" t="s">
        <v>537</v>
      </c>
      <c r="E1298" s="158" t="s">
        <v>535</v>
      </c>
      <c r="F1298" s="21" t="s">
        <v>511</v>
      </c>
      <c r="G1298" s="140" t="s">
        <v>382</v>
      </c>
      <c r="H1298" s="10"/>
      <c r="I1298" s="17"/>
      <c r="J1298" s="82"/>
      <c r="K1298" s="340"/>
      <c r="L1298" s="344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>
      <c r="A1299" s="10" t="s">
        <v>253</v>
      </c>
      <c r="B1299" s="226" t="s">
        <v>331</v>
      </c>
      <c r="C1299" s="10" t="s">
        <v>686</v>
      </c>
      <c r="D1299" s="14" t="s">
        <v>537</v>
      </c>
      <c r="E1299" s="158" t="s">
        <v>535</v>
      </c>
      <c r="F1299" s="14" t="s">
        <v>512</v>
      </c>
      <c r="G1299" s="18" t="s">
        <v>384</v>
      </c>
      <c r="H1299" s="10"/>
      <c r="I1299" s="17"/>
      <c r="J1299" s="82"/>
      <c r="K1299" s="340"/>
      <c r="L1299" s="344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>
      <c r="A1300" s="10" t="s">
        <v>253</v>
      </c>
      <c r="B1300" s="226" t="s">
        <v>331</v>
      </c>
      <c r="C1300" s="10" t="s">
        <v>686</v>
      </c>
      <c r="D1300" s="14" t="s">
        <v>537</v>
      </c>
      <c r="E1300" s="158" t="s">
        <v>535</v>
      </c>
      <c r="F1300" s="14" t="s">
        <v>513</v>
      </c>
      <c r="G1300" s="17"/>
      <c r="H1300" s="10"/>
      <c r="I1300" s="17"/>
      <c r="J1300" s="82"/>
      <c r="K1300" s="340"/>
      <c r="L1300" s="344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>
      <c r="A1301" s="10" t="s">
        <v>253</v>
      </c>
      <c r="B1301" s="226" t="s">
        <v>331</v>
      </c>
      <c r="C1301" s="10" t="s">
        <v>686</v>
      </c>
      <c r="D1301" s="14" t="s">
        <v>537</v>
      </c>
      <c r="E1301" s="158" t="s">
        <v>535</v>
      </c>
      <c r="F1301" s="14" t="s">
        <v>514</v>
      </c>
      <c r="G1301" s="17"/>
      <c r="H1301" s="10"/>
      <c r="I1301" s="17"/>
      <c r="J1301" s="82"/>
      <c r="K1301" s="340"/>
      <c r="L1301" s="344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>
      <c r="A1302" s="10" t="s">
        <v>253</v>
      </c>
      <c r="B1302" s="226" t="s">
        <v>331</v>
      </c>
      <c r="C1302" s="10" t="s">
        <v>686</v>
      </c>
      <c r="D1302" s="14" t="s">
        <v>537</v>
      </c>
      <c r="E1302" s="158" t="s">
        <v>535</v>
      </c>
      <c r="F1302" s="36" t="s">
        <v>515</v>
      </c>
      <c r="G1302" s="17"/>
      <c r="H1302" s="10"/>
      <c r="I1302" s="17"/>
      <c r="J1302" s="82"/>
      <c r="K1302" s="340"/>
      <c r="L1302" s="344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>
      <c r="A1303" s="10" t="s">
        <v>253</v>
      </c>
      <c r="B1303" s="226" t="s">
        <v>331</v>
      </c>
      <c r="C1303" s="10" t="s">
        <v>686</v>
      </c>
      <c r="D1303" s="14" t="s">
        <v>537</v>
      </c>
      <c r="E1303" s="158" t="s">
        <v>535</v>
      </c>
      <c r="F1303" s="14" t="s">
        <v>516</v>
      </c>
      <c r="G1303" s="17"/>
      <c r="H1303" s="10"/>
      <c r="I1303" s="17"/>
      <c r="J1303" s="82"/>
      <c r="K1303" s="340"/>
      <c r="L1303" s="344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>
      <c r="A1304" s="10" t="s">
        <v>253</v>
      </c>
      <c r="B1304" s="226" t="s">
        <v>331</v>
      </c>
      <c r="C1304" s="10" t="s">
        <v>686</v>
      </c>
      <c r="D1304" s="14" t="s">
        <v>537</v>
      </c>
      <c r="E1304" s="158" t="s">
        <v>535</v>
      </c>
      <c r="F1304" s="14" t="s">
        <v>517</v>
      </c>
      <c r="G1304" s="17"/>
      <c r="H1304" s="10"/>
      <c r="I1304" s="17"/>
      <c r="J1304" s="82"/>
      <c r="K1304" s="340"/>
      <c r="L1304" s="344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>
      <c r="A1305" s="17" t="s">
        <v>253</v>
      </c>
      <c r="B1305" s="227" t="s">
        <v>331</v>
      </c>
      <c r="C1305" s="17" t="s">
        <v>686</v>
      </c>
      <c r="D1305" s="18" t="s">
        <v>537</v>
      </c>
      <c r="E1305" s="156"/>
      <c r="F1305" s="17"/>
      <c r="G1305" s="17"/>
      <c r="H1305" s="17"/>
      <c r="I1305" s="17"/>
      <c r="J1305" s="83"/>
      <c r="K1305" s="340"/>
      <c r="L1305" s="344"/>
      <c r="M1305" s="89"/>
      <c r="N1305" s="17"/>
      <c r="O1305" s="25"/>
      <c r="P1305" s="119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>
      <c r="A1306" s="10" t="s">
        <v>253</v>
      </c>
      <c r="B1306" s="226" t="s">
        <v>331</v>
      </c>
      <c r="C1306" s="10" t="s">
        <v>686</v>
      </c>
      <c r="D1306" s="14" t="s">
        <v>537</v>
      </c>
      <c r="E1306" s="155" t="s">
        <v>534</v>
      </c>
      <c r="F1306" s="14" t="s">
        <v>527</v>
      </c>
      <c r="G1306" s="140" t="s">
        <v>382</v>
      </c>
      <c r="H1306" s="10"/>
      <c r="I1306" s="17"/>
      <c r="J1306" s="82"/>
      <c r="K1306" s="340"/>
      <c r="L1306" s="344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>
      <c r="A1307" s="10" t="s">
        <v>253</v>
      </c>
      <c r="B1307" s="226" t="s">
        <v>331</v>
      </c>
      <c r="C1307" s="10" t="s">
        <v>686</v>
      </c>
      <c r="D1307" s="14" t="s">
        <v>537</v>
      </c>
      <c r="E1307" s="155" t="s">
        <v>534</v>
      </c>
      <c r="F1307" s="14" t="s">
        <v>528</v>
      </c>
      <c r="G1307" s="18" t="s">
        <v>384</v>
      </c>
      <c r="H1307" s="10"/>
      <c r="I1307" s="17"/>
      <c r="J1307" s="82"/>
      <c r="K1307" s="340"/>
      <c r="L1307" s="344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>
      <c r="A1308" s="10" t="s">
        <v>253</v>
      </c>
      <c r="B1308" s="226" t="s">
        <v>331</v>
      </c>
      <c r="C1308" s="10" t="s">
        <v>686</v>
      </c>
      <c r="D1308" s="14" t="s">
        <v>537</v>
      </c>
      <c r="E1308" s="155" t="s">
        <v>534</v>
      </c>
      <c r="F1308" s="14" t="s">
        <v>529</v>
      </c>
      <c r="G1308" s="17"/>
      <c r="H1308" s="10"/>
      <c r="I1308" s="17"/>
      <c r="J1308" s="82"/>
      <c r="K1308" s="340"/>
      <c r="L1308" s="344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>
      <c r="A1309" s="10" t="s">
        <v>253</v>
      </c>
      <c r="B1309" s="226" t="s">
        <v>331</v>
      </c>
      <c r="C1309" s="10" t="s">
        <v>686</v>
      </c>
      <c r="D1309" s="14" t="s">
        <v>537</v>
      </c>
      <c r="E1309" s="155" t="s">
        <v>534</v>
      </c>
      <c r="F1309" s="21" t="s">
        <v>530</v>
      </c>
      <c r="G1309" s="17"/>
      <c r="H1309" s="10"/>
      <c r="I1309" s="17"/>
      <c r="J1309" s="82"/>
      <c r="K1309" s="340"/>
      <c r="L1309" s="344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>
      <c r="A1310" s="10" t="s">
        <v>253</v>
      </c>
      <c r="B1310" s="226" t="s">
        <v>331</v>
      </c>
      <c r="C1310" s="10" t="s">
        <v>686</v>
      </c>
      <c r="D1310" s="14" t="s">
        <v>537</v>
      </c>
      <c r="E1310" s="155" t="s">
        <v>534</v>
      </c>
      <c r="F1310" s="21" t="s">
        <v>531</v>
      </c>
      <c r="G1310" s="17"/>
      <c r="H1310" s="10"/>
      <c r="I1310" s="17"/>
      <c r="J1310" s="82"/>
      <c r="K1310" s="340"/>
      <c r="L1310" s="344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>
      <c r="A1311" s="10" t="s">
        <v>253</v>
      </c>
      <c r="B1311" s="226" t="s">
        <v>331</v>
      </c>
      <c r="C1311" s="10" t="s">
        <v>686</v>
      </c>
      <c r="D1311" s="14" t="s">
        <v>537</v>
      </c>
      <c r="E1311" s="155" t="s">
        <v>534</v>
      </c>
      <c r="F1311" s="21" t="s">
        <v>532</v>
      </c>
      <c r="G1311" s="17"/>
      <c r="H1311" s="10"/>
      <c r="I1311" s="17"/>
      <c r="J1311" s="82"/>
      <c r="K1311" s="340"/>
      <c r="L1311" s="344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>
      <c r="A1312" s="10" t="s">
        <v>253</v>
      </c>
      <c r="B1312" s="226" t="s">
        <v>331</v>
      </c>
      <c r="C1312" s="10" t="s">
        <v>686</v>
      </c>
      <c r="D1312" s="14" t="s">
        <v>537</v>
      </c>
      <c r="E1312" s="155" t="s">
        <v>534</v>
      </c>
      <c r="F1312" s="14" t="s">
        <v>533</v>
      </c>
      <c r="G1312" s="17"/>
      <c r="H1312" s="10"/>
      <c r="I1312" s="17"/>
      <c r="J1312" s="82"/>
      <c r="K1312" s="340"/>
      <c r="L1312" s="344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>
      <c r="A1313" s="100" t="s">
        <v>253</v>
      </c>
      <c r="B1313" s="229" t="s">
        <v>331</v>
      </c>
      <c r="C1313" s="100" t="s">
        <v>686</v>
      </c>
      <c r="D1313" s="148"/>
      <c r="E1313" s="248"/>
      <c r="F1313" s="100"/>
      <c r="G1313" s="17"/>
      <c r="H1313" s="100"/>
      <c r="I1313" s="17"/>
      <c r="J1313" s="149"/>
      <c r="K1313" s="340"/>
      <c r="L1313" s="344"/>
      <c r="M1313" s="150"/>
      <c r="N1313" s="100"/>
      <c r="O1313" s="152"/>
      <c r="P1313" s="151"/>
      <c r="Q1313" s="152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>
      <c r="A1314" s="10" t="s">
        <v>253</v>
      </c>
      <c r="B1314" s="226" t="s">
        <v>331</v>
      </c>
      <c r="C1314" s="10" t="s">
        <v>692</v>
      </c>
      <c r="D1314" s="85" t="s">
        <v>536</v>
      </c>
      <c r="E1314" s="238" t="s">
        <v>703</v>
      </c>
      <c r="F1314" s="85" t="s">
        <v>472</v>
      </c>
      <c r="G1314" s="140" t="s">
        <v>382</v>
      </c>
      <c r="H1314" s="10"/>
      <c r="I1314" s="17"/>
      <c r="J1314" s="82"/>
      <c r="K1314" s="341">
        <v>0.24453800000000001</v>
      </c>
      <c r="L1314" s="344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>
      <c r="A1315" s="10" t="s">
        <v>253</v>
      </c>
      <c r="B1315" s="226" t="s">
        <v>331</v>
      </c>
      <c r="C1315" s="10" t="s">
        <v>692</v>
      </c>
      <c r="D1315" s="85" t="s">
        <v>536</v>
      </c>
      <c r="E1315" s="238" t="s">
        <v>703</v>
      </c>
      <c r="F1315" s="85" t="s">
        <v>473</v>
      </c>
      <c r="G1315" s="18" t="s">
        <v>384</v>
      </c>
      <c r="H1315" s="10"/>
      <c r="I1315" s="17"/>
      <c r="J1315" s="82"/>
      <c r="K1315" s="340"/>
      <c r="L1315" s="344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>
      <c r="A1316" s="10" t="s">
        <v>253</v>
      </c>
      <c r="B1316" s="226" t="s">
        <v>331</v>
      </c>
      <c r="C1316" s="10" t="s">
        <v>692</v>
      </c>
      <c r="D1316" s="85" t="s">
        <v>536</v>
      </c>
      <c r="E1316" s="158" t="s">
        <v>479</v>
      </c>
      <c r="F1316" s="21" t="s">
        <v>480</v>
      </c>
      <c r="G1316" s="140" t="s">
        <v>382</v>
      </c>
      <c r="H1316" s="10"/>
      <c r="I1316" s="17"/>
      <c r="J1316" s="82"/>
      <c r="K1316" s="340"/>
      <c r="L1316" s="344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>
      <c r="A1317" s="10" t="s">
        <v>253</v>
      </c>
      <c r="B1317" s="226" t="s">
        <v>331</v>
      </c>
      <c r="C1317" s="10" t="s">
        <v>692</v>
      </c>
      <c r="D1317" s="85" t="s">
        <v>536</v>
      </c>
      <c r="E1317" s="158" t="s">
        <v>479</v>
      </c>
      <c r="F1317" s="21" t="s">
        <v>481</v>
      </c>
      <c r="G1317" s="18" t="s">
        <v>384</v>
      </c>
      <c r="H1317" s="10"/>
      <c r="I1317" s="17"/>
      <c r="J1317" s="82"/>
      <c r="K1317" s="340"/>
      <c r="L1317" s="344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>
      <c r="A1318" s="10" t="s">
        <v>253</v>
      </c>
      <c r="B1318" s="226" t="s">
        <v>331</v>
      </c>
      <c r="C1318" s="10" t="s">
        <v>692</v>
      </c>
      <c r="D1318" s="85" t="s">
        <v>536</v>
      </c>
      <c r="E1318" s="157" t="s">
        <v>704</v>
      </c>
      <c r="F1318" s="105" t="s">
        <v>693</v>
      </c>
      <c r="G1318" s="140" t="s">
        <v>382</v>
      </c>
      <c r="H1318" s="10"/>
      <c r="I1318" s="17"/>
      <c r="J1318" s="82"/>
      <c r="K1318" s="340"/>
      <c r="L1318" s="344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>
      <c r="A1319" s="10" t="s">
        <v>253</v>
      </c>
      <c r="B1319" s="226" t="s">
        <v>331</v>
      </c>
      <c r="C1319" s="10" t="s">
        <v>692</v>
      </c>
      <c r="D1319" s="85" t="s">
        <v>536</v>
      </c>
      <c r="E1319" s="157" t="s">
        <v>704</v>
      </c>
      <c r="F1319" s="14" t="s">
        <v>694</v>
      </c>
      <c r="G1319" s="18" t="s">
        <v>384</v>
      </c>
      <c r="H1319" s="10"/>
      <c r="I1319" s="17"/>
      <c r="J1319" s="82"/>
      <c r="K1319" s="340"/>
      <c r="L1319" s="344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>
      <c r="A1320" s="10" t="s">
        <v>253</v>
      </c>
      <c r="B1320" s="226" t="s">
        <v>331</v>
      </c>
      <c r="C1320" s="10" t="s">
        <v>692</v>
      </c>
      <c r="D1320" s="85" t="s">
        <v>536</v>
      </c>
      <c r="E1320" s="238" t="s">
        <v>705</v>
      </c>
      <c r="F1320" s="105" t="s">
        <v>695</v>
      </c>
      <c r="G1320" s="140" t="s">
        <v>382</v>
      </c>
      <c r="H1320" s="10"/>
      <c r="I1320" s="17"/>
      <c r="J1320" s="82"/>
      <c r="K1320" s="340"/>
      <c r="L1320" s="344"/>
      <c r="M1320" s="88">
        <v>7</v>
      </c>
      <c r="N1320" s="146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>
      <c r="A1321" s="10" t="s">
        <v>253</v>
      </c>
      <c r="B1321" s="226" t="s">
        <v>331</v>
      </c>
      <c r="C1321" s="10" t="s">
        <v>692</v>
      </c>
      <c r="D1321" s="85" t="s">
        <v>536</v>
      </c>
      <c r="E1321" s="238" t="s">
        <v>705</v>
      </c>
      <c r="F1321" s="105" t="s">
        <v>696</v>
      </c>
      <c r="G1321" s="18" t="s">
        <v>384</v>
      </c>
      <c r="H1321" s="10"/>
      <c r="I1321" s="17"/>
      <c r="J1321" s="82"/>
      <c r="K1321" s="341"/>
      <c r="L1321" s="344"/>
      <c r="M1321" s="164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>
      <c r="A1322" s="10" t="s">
        <v>253</v>
      </c>
      <c r="B1322" s="226" t="s">
        <v>331</v>
      </c>
      <c r="C1322" s="10" t="s">
        <v>692</v>
      </c>
      <c r="D1322" s="85" t="s">
        <v>536</v>
      </c>
      <c r="E1322" s="238" t="s">
        <v>706</v>
      </c>
      <c r="F1322" s="85" t="s">
        <v>697</v>
      </c>
      <c r="G1322" s="140" t="s">
        <v>382</v>
      </c>
      <c r="H1322" s="10"/>
      <c r="I1322" s="17"/>
      <c r="J1322" s="82"/>
      <c r="K1322" s="340"/>
      <c r="L1322" s="344"/>
      <c r="M1322" s="164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>
      <c r="A1323" s="10" t="s">
        <v>253</v>
      </c>
      <c r="B1323" s="226" t="s">
        <v>331</v>
      </c>
      <c r="C1323" s="10" t="s">
        <v>692</v>
      </c>
      <c r="D1323" s="85" t="s">
        <v>536</v>
      </c>
      <c r="E1323" s="238" t="s">
        <v>706</v>
      </c>
      <c r="F1323" s="85" t="s">
        <v>698</v>
      </c>
      <c r="G1323" s="18" t="s">
        <v>384</v>
      </c>
      <c r="H1323" s="10"/>
      <c r="I1323" s="17"/>
      <c r="J1323" s="82"/>
      <c r="K1323" s="341"/>
      <c r="L1323" s="344"/>
      <c r="M1323" s="164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>
      <c r="A1324" s="10" t="s">
        <v>253</v>
      </c>
      <c r="B1324" s="226" t="s">
        <v>331</v>
      </c>
      <c r="C1324" s="10" t="s">
        <v>692</v>
      </c>
      <c r="D1324" s="85" t="s">
        <v>536</v>
      </c>
      <c r="E1324" s="158" t="s">
        <v>707</v>
      </c>
      <c r="F1324" s="21" t="s">
        <v>699</v>
      </c>
      <c r="G1324" s="140" t="s">
        <v>382</v>
      </c>
      <c r="H1324" s="10"/>
      <c r="I1324" s="17"/>
      <c r="J1324" s="82"/>
      <c r="K1324" s="341"/>
      <c r="L1324" s="344"/>
      <c r="M1324" s="164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>
      <c r="A1325" s="10" t="s">
        <v>253</v>
      </c>
      <c r="B1325" s="226" t="s">
        <v>331</v>
      </c>
      <c r="C1325" s="10" t="s">
        <v>692</v>
      </c>
      <c r="D1325" s="85" t="s">
        <v>536</v>
      </c>
      <c r="E1325" s="158" t="s">
        <v>707</v>
      </c>
      <c r="F1325" s="21" t="s">
        <v>700</v>
      </c>
      <c r="G1325" s="18" t="s">
        <v>384</v>
      </c>
      <c r="H1325" s="10"/>
      <c r="I1325" s="17"/>
      <c r="J1325" s="82"/>
      <c r="K1325" s="340"/>
      <c r="L1325" s="344"/>
      <c r="M1325" s="164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>
      <c r="A1326" s="10" t="s">
        <v>253</v>
      </c>
      <c r="B1326" s="226" t="s">
        <v>331</v>
      </c>
      <c r="C1326" s="10" t="s">
        <v>692</v>
      </c>
      <c r="D1326" s="85" t="s">
        <v>536</v>
      </c>
      <c r="E1326" s="157" t="s">
        <v>708</v>
      </c>
      <c r="F1326" s="105" t="s">
        <v>701</v>
      </c>
      <c r="G1326" s="140" t="s">
        <v>382</v>
      </c>
      <c r="H1326" s="10"/>
      <c r="I1326" s="17"/>
      <c r="J1326" s="82"/>
      <c r="K1326" s="340"/>
      <c r="L1326" s="344"/>
      <c r="M1326" s="164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>
      <c r="A1327" s="10" t="s">
        <v>253</v>
      </c>
      <c r="B1327" s="226" t="s">
        <v>331</v>
      </c>
      <c r="C1327" s="10" t="s">
        <v>692</v>
      </c>
      <c r="D1327" s="85" t="s">
        <v>536</v>
      </c>
      <c r="E1327" s="157" t="s">
        <v>708</v>
      </c>
      <c r="F1327" s="105" t="s">
        <v>702</v>
      </c>
      <c r="G1327" s="18" t="s">
        <v>384</v>
      </c>
      <c r="H1327" s="10"/>
      <c r="I1327" s="17"/>
      <c r="J1327" s="82"/>
      <c r="K1327" s="340"/>
      <c r="L1327" s="344"/>
      <c r="M1327" s="164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>
      <c r="A1328" s="10" t="s">
        <v>253</v>
      </c>
      <c r="B1328" s="226" t="s">
        <v>331</v>
      </c>
      <c r="C1328" s="10" t="s">
        <v>692</v>
      </c>
      <c r="D1328" s="85" t="s">
        <v>536</v>
      </c>
      <c r="E1328" s="157"/>
      <c r="F1328" s="163"/>
      <c r="G1328" s="140"/>
      <c r="H1328" s="10"/>
      <c r="I1328" s="17"/>
      <c r="J1328" s="82"/>
      <c r="K1328" s="340"/>
      <c r="L1328" s="344"/>
      <c r="M1328" s="88">
        <v>15</v>
      </c>
      <c r="N1328" s="161" t="s">
        <v>176</v>
      </c>
      <c r="O1328" s="162" t="str">
        <f>IF(Enginuity!$A$22="Supply &amp; Install",70,IF(Enginuity!$A$22="Self Collect",0,""))</f>
        <v/>
      </c>
      <c r="P1328" s="163">
        <f>Enginuity!$A$22</f>
        <v>0</v>
      </c>
      <c r="Q1328" s="162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>
      <c r="A1329" s="100"/>
      <c r="B1329" s="229"/>
      <c r="C1329" s="100"/>
      <c r="D1329" s="160"/>
      <c r="E1329" s="249"/>
      <c r="F1329" s="165"/>
      <c r="G1329" s="18"/>
      <c r="H1329" s="100"/>
      <c r="I1329" s="17"/>
      <c r="J1329" s="149"/>
      <c r="K1329" s="340"/>
      <c r="L1329" s="344"/>
      <c r="M1329" s="150">
        <v>16</v>
      </c>
      <c r="N1329" s="100" t="s">
        <v>176</v>
      </c>
      <c r="O1329" s="152"/>
      <c r="P1329" s="148"/>
      <c r="Q1329" s="152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>
      <c r="A1330" s="10" t="s">
        <v>253</v>
      </c>
      <c r="B1330" s="226" t="s">
        <v>331</v>
      </c>
      <c r="C1330" s="10" t="s">
        <v>692</v>
      </c>
      <c r="D1330" s="85" t="s">
        <v>537</v>
      </c>
      <c r="E1330" s="238" t="s">
        <v>703</v>
      </c>
      <c r="F1330" s="85" t="s">
        <v>499</v>
      </c>
      <c r="G1330" s="140" t="s">
        <v>382</v>
      </c>
      <c r="H1330" s="10"/>
      <c r="I1330" s="17"/>
      <c r="J1330" s="82"/>
      <c r="K1330" s="341">
        <v>0.24453800000000001</v>
      </c>
      <c r="L1330" s="344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>
      <c r="A1331" s="10" t="s">
        <v>253</v>
      </c>
      <c r="B1331" s="226" t="s">
        <v>331</v>
      </c>
      <c r="C1331" s="10" t="s">
        <v>692</v>
      </c>
      <c r="D1331" s="85" t="s">
        <v>537</v>
      </c>
      <c r="E1331" s="238" t="s">
        <v>703</v>
      </c>
      <c r="F1331" s="85" t="s">
        <v>500</v>
      </c>
      <c r="G1331" s="18" t="s">
        <v>384</v>
      </c>
      <c r="H1331" s="10"/>
      <c r="I1331" s="17"/>
      <c r="J1331" s="82"/>
      <c r="K1331" s="340"/>
      <c r="L1331" s="344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>
      <c r="A1332" s="10" t="s">
        <v>253</v>
      </c>
      <c r="B1332" s="226" t="s">
        <v>331</v>
      </c>
      <c r="C1332" s="10" t="s">
        <v>692</v>
      </c>
      <c r="D1332" s="85" t="s">
        <v>537</v>
      </c>
      <c r="E1332" s="158" t="s">
        <v>479</v>
      </c>
      <c r="F1332" s="21" t="s">
        <v>506</v>
      </c>
      <c r="G1332" s="140" t="s">
        <v>382</v>
      </c>
      <c r="H1332" s="10"/>
      <c r="I1332" s="17"/>
      <c r="J1332" s="82"/>
      <c r="K1332" s="340"/>
      <c r="L1332" s="344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>
      <c r="A1333" s="10" t="s">
        <v>253</v>
      </c>
      <c r="B1333" s="226" t="s">
        <v>331</v>
      </c>
      <c r="C1333" s="10" t="s">
        <v>692</v>
      </c>
      <c r="D1333" s="85" t="s">
        <v>537</v>
      </c>
      <c r="E1333" s="158" t="s">
        <v>479</v>
      </c>
      <c r="F1333" s="21" t="s">
        <v>507</v>
      </c>
      <c r="G1333" s="18" t="s">
        <v>384</v>
      </c>
      <c r="H1333" s="10"/>
      <c r="I1333" s="17"/>
      <c r="J1333" s="82"/>
      <c r="K1333" s="340"/>
      <c r="L1333" s="344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>
      <c r="A1334" s="10" t="s">
        <v>253</v>
      </c>
      <c r="B1334" s="226" t="s">
        <v>331</v>
      </c>
      <c r="C1334" s="10" t="s">
        <v>692</v>
      </c>
      <c r="D1334" s="85" t="s">
        <v>537</v>
      </c>
      <c r="E1334" s="157" t="s">
        <v>704</v>
      </c>
      <c r="F1334" s="105" t="s">
        <v>511</v>
      </c>
      <c r="G1334" s="140" t="s">
        <v>382</v>
      </c>
      <c r="H1334" s="10"/>
      <c r="I1334" s="17"/>
      <c r="J1334" s="82"/>
      <c r="K1334" s="340"/>
      <c r="L1334" s="344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>
      <c r="A1335" s="10" t="s">
        <v>253</v>
      </c>
      <c r="B1335" s="226" t="s">
        <v>331</v>
      </c>
      <c r="C1335" s="10" t="s">
        <v>692</v>
      </c>
      <c r="D1335" s="85" t="s">
        <v>537</v>
      </c>
      <c r="E1335" s="157" t="s">
        <v>704</v>
      </c>
      <c r="F1335" s="14" t="s">
        <v>512</v>
      </c>
      <c r="G1335" s="18" t="s">
        <v>384</v>
      </c>
      <c r="H1335" s="10"/>
      <c r="I1335" s="17"/>
      <c r="J1335" s="82"/>
      <c r="K1335" s="340"/>
      <c r="L1335" s="344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>
      <c r="A1336" s="10" t="s">
        <v>253</v>
      </c>
      <c r="B1336" s="226" t="s">
        <v>331</v>
      </c>
      <c r="C1336" s="10" t="s">
        <v>692</v>
      </c>
      <c r="D1336" s="85" t="s">
        <v>537</v>
      </c>
      <c r="E1336" s="238" t="s">
        <v>705</v>
      </c>
      <c r="F1336" s="105" t="s">
        <v>527</v>
      </c>
      <c r="G1336" s="140" t="s">
        <v>382</v>
      </c>
      <c r="H1336" s="10"/>
      <c r="I1336" s="17"/>
      <c r="J1336" s="82"/>
      <c r="K1336" s="340"/>
      <c r="L1336" s="344"/>
      <c r="M1336" s="88">
        <v>7</v>
      </c>
      <c r="N1336" s="146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>
      <c r="A1337" s="10" t="s">
        <v>253</v>
      </c>
      <c r="B1337" s="226" t="s">
        <v>331</v>
      </c>
      <c r="C1337" s="10" t="s">
        <v>692</v>
      </c>
      <c r="D1337" s="85" t="s">
        <v>537</v>
      </c>
      <c r="E1337" s="238" t="s">
        <v>705</v>
      </c>
      <c r="F1337" s="105" t="s">
        <v>528</v>
      </c>
      <c r="G1337" s="18" t="s">
        <v>384</v>
      </c>
      <c r="H1337" s="10"/>
      <c r="I1337" s="17"/>
      <c r="J1337" s="82"/>
      <c r="K1337" s="341"/>
      <c r="L1337" s="344"/>
      <c r="M1337" s="164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>
      <c r="A1338" s="10" t="s">
        <v>253</v>
      </c>
      <c r="B1338" s="226" t="s">
        <v>331</v>
      </c>
      <c r="C1338" s="10" t="s">
        <v>692</v>
      </c>
      <c r="D1338" s="85" t="s">
        <v>537</v>
      </c>
      <c r="E1338" s="238" t="s">
        <v>706</v>
      </c>
      <c r="F1338" s="85" t="s">
        <v>709</v>
      </c>
      <c r="G1338" s="140" t="s">
        <v>382</v>
      </c>
      <c r="H1338" s="10"/>
      <c r="I1338" s="17"/>
      <c r="J1338" s="82"/>
      <c r="K1338" s="340"/>
      <c r="L1338" s="344"/>
      <c r="M1338" s="164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>
      <c r="A1339" s="10" t="s">
        <v>253</v>
      </c>
      <c r="B1339" s="226" t="s">
        <v>331</v>
      </c>
      <c r="C1339" s="10" t="s">
        <v>692</v>
      </c>
      <c r="D1339" s="85" t="s">
        <v>537</v>
      </c>
      <c r="E1339" s="238" t="s">
        <v>706</v>
      </c>
      <c r="F1339" s="85" t="s">
        <v>710</v>
      </c>
      <c r="G1339" s="18" t="s">
        <v>384</v>
      </c>
      <c r="H1339" s="10"/>
      <c r="I1339" s="17"/>
      <c r="J1339" s="82"/>
      <c r="K1339" s="341"/>
      <c r="L1339" s="344"/>
      <c r="M1339" s="164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>
      <c r="A1340" s="10" t="s">
        <v>253</v>
      </c>
      <c r="B1340" s="226" t="s">
        <v>331</v>
      </c>
      <c r="C1340" s="10" t="s">
        <v>692</v>
      </c>
      <c r="D1340" s="85" t="s">
        <v>537</v>
      </c>
      <c r="E1340" s="158" t="s">
        <v>707</v>
      </c>
      <c r="F1340" s="21" t="s">
        <v>711</v>
      </c>
      <c r="G1340" s="140" t="s">
        <v>382</v>
      </c>
      <c r="H1340" s="10"/>
      <c r="I1340" s="17"/>
      <c r="J1340" s="82"/>
      <c r="K1340" s="341"/>
      <c r="L1340" s="344"/>
      <c r="M1340" s="164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>
      <c r="A1341" s="10" t="s">
        <v>253</v>
      </c>
      <c r="B1341" s="226" t="s">
        <v>331</v>
      </c>
      <c r="C1341" s="10" t="s">
        <v>692</v>
      </c>
      <c r="D1341" s="85" t="s">
        <v>537</v>
      </c>
      <c r="E1341" s="158" t="s">
        <v>707</v>
      </c>
      <c r="F1341" s="21" t="s">
        <v>712</v>
      </c>
      <c r="G1341" s="18" t="s">
        <v>384</v>
      </c>
      <c r="H1341" s="10"/>
      <c r="I1341" s="17"/>
      <c r="J1341" s="82"/>
      <c r="K1341" s="340"/>
      <c r="L1341" s="344"/>
      <c r="M1341" s="164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>
      <c r="A1342" s="10" t="s">
        <v>253</v>
      </c>
      <c r="B1342" s="226" t="s">
        <v>331</v>
      </c>
      <c r="C1342" s="10" t="s">
        <v>692</v>
      </c>
      <c r="D1342" s="85" t="s">
        <v>537</v>
      </c>
      <c r="E1342" s="157" t="s">
        <v>708</v>
      </c>
      <c r="F1342" s="105" t="s">
        <v>713</v>
      </c>
      <c r="G1342" s="140" t="s">
        <v>382</v>
      </c>
      <c r="H1342" s="10"/>
      <c r="I1342" s="17"/>
      <c r="J1342" s="82"/>
      <c r="K1342" s="340"/>
      <c r="L1342" s="344"/>
      <c r="M1342" s="164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>
      <c r="A1343" s="10" t="s">
        <v>253</v>
      </c>
      <c r="B1343" s="226" t="s">
        <v>331</v>
      </c>
      <c r="C1343" s="10" t="s">
        <v>692</v>
      </c>
      <c r="D1343" s="85" t="s">
        <v>537</v>
      </c>
      <c r="E1343" s="157" t="s">
        <v>708</v>
      </c>
      <c r="F1343" s="105" t="s">
        <v>714</v>
      </c>
      <c r="G1343" s="18" t="s">
        <v>384</v>
      </c>
      <c r="H1343" s="10"/>
      <c r="I1343" s="17"/>
      <c r="J1343" s="82"/>
      <c r="K1343" s="340"/>
      <c r="L1343" s="344"/>
      <c r="M1343" s="164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>
      <c r="A1344" s="10" t="s">
        <v>253</v>
      </c>
      <c r="B1344" s="226" t="s">
        <v>331</v>
      </c>
      <c r="C1344" s="10" t="s">
        <v>692</v>
      </c>
      <c r="D1344" s="85" t="s">
        <v>537</v>
      </c>
      <c r="E1344" s="157"/>
      <c r="F1344" s="163"/>
      <c r="G1344" s="140"/>
      <c r="H1344" s="10"/>
      <c r="I1344" s="17"/>
      <c r="J1344" s="82"/>
      <c r="K1344" s="340"/>
      <c r="L1344" s="344"/>
      <c r="M1344" s="88">
        <v>15</v>
      </c>
      <c r="N1344" s="161" t="s">
        <v>176</v>
      </c>
      <c r="O1344" s="162" t="str">
        <f>IF(Enginuity!$A$22="Supply &amp; Install",70,IF(Enginuity!$A$22="Self Collect",0,""))</f>
        <v/>
      </c>
      <c r="P1344" s="163">
        <f>Enginuity!$A$22</f>
        <v>0</v>
      </c>
      <c r="Q1344" s="162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>
      <c r="A1345" s="100"/>
      <c r="B1345" s="229"/>
      <c r="C1345" s="100"/>
      <c r="D1345" s="160"/>
      <c r="E1345" s="249"/>
      <c r="F1345" s="165"/>
      <c r="G1345" s="18"/>
      <c r="H1345" s="100"/>
      <c r="I1345" s="17"/>
      <c r="J1345" s="149"/>
      <c r="K1345" s="340"/>
      <c r="L1345" s="344"/>
      <c r="M1345" s="150"/>
      <c r="N1345" s="100"/>
      <c r="O1345" s="152"/>
      <c r="P1345" s="148"/>
      <c r="Q1345" s="152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>
      <c r="A1346" s="10" t="s">
        <v>253</v>
      </c>
      <c r="B1346" s="226" t="s">
        <v>331</v>
      </c>
      <c r="C1346" s="10" t="s">
        <v>715</v>
      </c>
      <c r="D1346" s="85" t="s">
        <v>536</v>
      </c>
      <c r="E1346" s="238" t="s">
        <v>703</v>
      </c>
      <c r="F1346" s="14" t="s">
        <v>716</v>
      </c>
      <c r="G1346" s="140" t="s">
        <v>382</v>
      </c>
      <c r="H1346" s="10"/>
      <c r="I1346" s="17"/>
      <c r="J1346" s="82"/>
      <c r="K1346" s="341">
        <v>0.24453800000000001</v>
      </c>
      <c r="L1346" s="344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>
      <c r="A1347" s="10" t="s">
        <v>253</v>
      </c>
      <c r="B1347" s="226" t="s">
        <v>331</v>
      </c>
      <c r="C1347" s="10" t="s">
        <v>715</v>
      </c>
      <c r="D1347" s="85" t="s">
        <v>536</v>
      </c>
      <c r="E1347" s="238" t="s">
        <v>703</v>
      </c>
      <c r="F1347" s="14" t="s">
        <v>717</v>
      </c>
      <c r="G1347" s="18" t="s">
        <v>384</v>
      </c>
      <c r="H1347" s="10"/>
      <c r="I1347" s="17"/>
      <c r="J1347" s="82"/>
      <c r="K1347" s="340"/>
      <c r="L1347" s="344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>
      <c r="A1348" s="10" t="s">
        <v>253</v>
      </c>
      <c r="B1348" s="226" t="s">
        <v>331</v>
      </c>
      <c r="C1348" s="10" t="s">
        <v>715</v>
      </c>
      <c r="D1348" s="85" t="s">
        <v>536</v>
      </c>
      <c r="E1348" s="238" t="s">
        <v>703</v>
      </c>
      <c r="F1348" s="14" t="s">
        <v>718</v>
      </c>
      <c r="G1348" s="18"/>
      <c r="H1348" s="10"/>
      <c r="I1348" s="17"/>
      <c r="J1348" s="82"/>
      <c r="K1348" s="340"/>
      <c r="L1348" s="344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>
      <c r="A1349" s="10" t="s">
        <v>253</v>
      </c>
      <c r="B1349" s="226" t="s">
        <v>331</v>
      </c>
      <c r="C1349" s="10" t="s">
        <v>715</v>
      </c>
      <c r="D1349" s="85" t="s">
        <v>536</v>
      </c>
      <c r="E1349" s="238" t="s">
        <v>703</v>
      </c>
      <c r="F1349" s="36" t="s">
        <v>719</v>
      </c>
      <c r="G1349" s="17"/>
      <c r="H1349" s="10"/>
      <c r="I1349" s="17"/>
      <c r="J1349" s="82"/>
      <c r="K1349" s="340"/>
      <c r="L1349" s="344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>
      <c r="A1350" s="10" t="s">
        <v>253</v>
      </c>
      <c r="B1350" s="226" t="s">
        <v>331</v>
      </c>
      <c r="C1350" s="10" t="s">
        <v>715</v>
      </c>
      <c r="D1350" s="85" t="s">
        <v>536</v>
      </c>
      <c r="E1350" s="238" t="s">
        <v>703</v>
      </c>
      <c r="F1350" s="14" t="s">
        <v>472</v>
      </c>
      <c r="G1350" s="17"/>
      <c r="H1350" s="10"/>
      <c r="I1350" s="17"/>
      <c r="J1350" s="82"/>
      <c r="K1350" s="340"/>
      <c r="L1350" s="344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>
      <c r="A1351" s="10" t="s">
        <v>253</v>
      </c>
      <c r="B1351" s="226" t="s">
        <v>331</v>
      </c>
      <c r="C1351" s="10" t="s">
        <v>715</v>
      </c>
      <c r="D1351" s="85" t="s">
        <v>536</v>
      </c>
      <c r="E1351" s="238" t="s">
        <v>703</v>
      </c>
      <c r="F1351" s="105" t="s">
        <v>473</v>
      </c>
      <c r="G1351" s="17"/>
      <c r="H1351" s="10"/>
      <c r="I1351" s="17"/>
      <c r="J1351" s="82"/>
      <c r="K1351" s="340"/>
      <c r="L1351" s="344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>
      <c r="A1352" s="10" t="s">
        <v>253</v>
      </c>
      <c r="B1352" s="226" t="s">
        <v>331</v>
      </c>
      <c r="C1352" s="10" t="s">
        <v>715</v>
      </c>
      <c r="D1352" s="85" t="s">
        <v>536</v>
      </c>
      <c r="E1352" s="238" t="s">
        <v>703</v>
      </c>
      <c r="F1352" s="14" t="s">
        <v>474</v>
      </c>
      <c r="G1352" s="140"/>
      <c r="H1352" s="10"/>
      <c r="I1352" s="17"/>
      <c r="J1352" s="82"/>
      <c r="K1352" s="340"/>
      <c r="L1352" s="344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>
      <c r="A1353" s="10" t="s">
        <v>253</v>
      </c>
      <c r="B1353" s="226" t="s">
        <v>331</v>
      </c>
      <c r="C1353" s="10" t="s">
        <v>715</v>
      </c>
      <c r="D1353" s="85" t="s">
        <v>536</v>
      </c>
      <c r="E1353" s="158" t="s">
        <v>479</v>
      </c>
      <c r="F1353" s="14" t="s">
        <v>720</v>
      </c>
      <c r="G1353" s="140" t="s">
        <v>382</v>
      </c>
      <c r="H1353" s="10"/>
      <c r="I1353" s="17"/>
      <c r="J1353" s="82"/>
      <c r="K1353" s="340"/>
      <c r="L1353" s="344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>
      <c r="A1354" s="10" t="s">
        <v>253</v>
      </c>
      <c r="B1354" s="226" t="s">
        <v>331</v>
      </c>
      <c r="C1354" s="10" t="s">
        <v>715</v>
      </c>
      <c r="D1354" s="85" t="s">
        <v>536</v>
      </c>
      <c r="E1354" s="158" t="s">
        <v>479</v>
      </c>
      <c r="F1354" s="14" t="s">
        <v>721</v>
      </c>
      <c r="G1354" s="18" t="s">
        <v>384</v>
      </c>
      <c r="H1354" s="10"/>
      <c r="I1354" s="17"/>
      <c r="J1354" s="82"/>
      <c r="K1354" s="340"/>
      <c r="L1354" s="344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>
      <c r="A1355" s="10" t="s">
        <v>253</v>
      </c>
      <c r="B1355" s="226" t="s">
        <v>331</v>
      </c>
      <c r="C1355" s="10" t="s">
        <v>715</v>
      </c>
      <c r="D1355" s="85" t="s">
        <v>536</v>
      </c>
      <c r="E1355" s="158" t="s">
        <v>479</v>
      </c>
      <c r="F1355" s="14" t="s">
        <v>722</v>
      </c>
      <c r="G1355" s="18"/>
      <c r="H1355" s="10"/>
      <c r="I1355" s="17"/>
      <c r="J1355" s="82"/>
      <c r="K1355" s="340"/>
      <c r="L1355" s="344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>
      <c r="A1356" s="10" t="s">
        <v>253</v>
      </c>
      <c r="B1356" s="226" t="s">
        <v>331</v>
      </c>
      <c r="C1356" s="10" t="s">
        <v>715</v>
      </c>
      <c r="D1356" s="85" t="s">
        <v>536</v>
      </c>
      <c r="E1356" s="158" t="s">
        <v>479</v>
      </c>
      <c r="F1356" s="21" t="s">
        <v>723</v>
      </c>
      <c r="G1356" s="17"/>
      <c r="H1356" s="10"/>
      <c r="I1356" s="17"/>
      <c r="J1356" s="82"/>
      <c r="K1356" s="340"/>
      <c r="L1356" s="344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>
      <c r="A1357" s="10" t="s">
        <v>253</v>
      </c>
      <c r="B1357" s="226" t="s">
        <v>331</v>
      </c>
      <c r="C1357" s="10" t="s">
        <v>715</v>
      </c>
      <c r="D1357" s="85" t="s">
        <v>536</v>
      </c>
      <c r="E1357" s="158" t="s">
        <v>479</v>
      </c>
      <c r="F1357" s="105" t="s">
        <v>724</v>
      </c>
      <c r="G1357" s="17"/>
      <c r="H1357" s="10"/>
      <c r="I1357" s="17"/>
      <c r="J1357" s="82"/>
      <c r="K1357" s="340"/>
      <c r="L1357" s="344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>
      <c r="A1358" s="10" t="s">
        <v>253</v>
      </c>
      <c r="B1358" s="226" t="s">
        <v>331</v>
      </c>
      <c r="C1358" s="10" t="s">
        <v>715</v>
      </c>
      <c r="D1358" s="85" t="s">
        <v>536</v>
      </c>
      <c r="E1358" s="158" t="s">
        <v>479</v>
      </c>
      <c r="F1358" s="21" t="s">
        <v>725</v>
      </c>
      <c r="G1358" s="140"/>
      <c r="H1358" s="10"/>
      <c r="I1358" s="17"/>
      <c r="J1358" s="82"/>
      <c r="K1358" s="340"/>
      <c r="L1358" s="344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>
      <c r="A1359" s="10" t="s">
        <v>253</v>
      </c>
      <c r="B1359" s="226" t="s">
        <v>331</v>
      </c>
      <c r="C1359" s="10" t="s">
        <v>715</v>
      </c>
      <c r="D1359" s="85" t="s">
        <v>536</v>
      </c>
      <c r="E1359" s="157" t="s">
        <v>704</v>
      </c>
      <c r="F1359" s="14" t="s">
        <v>726</v>
      </c>
      <c r="G1359" s="140" t="s">
        <v>382</v>
      </c>
      <c r="H1359" s="10"/>
      <c r="I1359" s="17"/>
      <c r="J1359" s="82"/>
      <c r="K1359" s="340"/>
      <c r="L1359" s="344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>
      <c r="A1360" s="10" t="s">
        <v>253</v>
      </c>
      <c r="B1360" s="226" t="s">
        <v>331</v>
      </c>
      <c r="C1360" s="10" t="s">
        <v>715</v>
      </c>
      <c r="D1360" s="85" t="s">
        <v>536</v>
      </c>
      <c r="E1360" s="157" t="s">
        <v>704</v>
      </c>
      <c r="F1360" s="14" t="s">
        <v>727</v>
      </c>
      <c r="G1360" s="18" t="s">
        <v>384</v>
      </c>
      <c r="H1360" s="10"/>
      <c r="I1360" s="17"/>
      <c r="J1360" s="82"/>
      <c r="K1360" s="340"/>
      <c r="L1360" s="344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>
      <c r="A1361" s="10" t="s">
        <v>253</v>
      </c>
      <c r="B1361" s="226" t="s">
        <v>331</v>
      </c>
      <c r="C1361" s="10" t="s">
        <v>715</v>
      </c>
      <c r="D1361" s="85" t="s">
        <v>536</v>
      </c>
      <c r="E1361" s="157" t="s">
        <v>704</v>
      </c>
      <c r="F1361" s="14" t="s">
        <v>728</v>
      </c>
      <c r="G1361" s="18"/>
      <c r="H1361" s="10"/>
      <c r="I1361" s="17"/>
      <c r="J1361" s="82"/>
      <c r="K1361" s="340"/>
      <c r="L1361" s="344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>
      <c r="A1362" s="10" t="s">
        <v>253</v>
      </c>
      <c r="B1362" s="226" t="s">
        <v>331</v>
      </c>
      <c r="C1362" s="10" t="s">
        <v>715</v>
      </c>
      <c r="D1362" s="85" t="s">
        <v>536</v>
      </c>
      <c r="E1362" s="157" t="s">
        <v>704</v>
      </c>
      <c r="F1362" s="36" t="s">
        <v>729</v>
      </c>
      <c r="G1362" s="17"/>
      <c r="H1362" s="10"/>
      <c r="I1362" s="17"/>
      <c r="J1362" s="82"/>
      <c r="K1362" s="340"/>
      <c r="L1362" s="344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>
      <c r="A1363" s="10" t="s">
        <v>253</v>
      </c>
      <c r="B1363" s="226" t="s">
        <v>331</v>
      </c>
      <c r="C1363" s="10" t="s">
        <v>715</v>
      </c>
      <c r="D1363" s="85" t="s">
        <v>536</v>
      </c>
      <c r="E1363" s="157" t="s">
        <v>704</v>
      </c>
      <c r="F1363" s="14" t="s">
        <v>693</v>
      </c>
      <c r="G1363" s="17"/>
      <c r="H1363" s="10"/>
      <c r="I1363" s="17"/>
      <c r="J1363" s="82"/>
      <c r="K1363" s="340"/>
      <c r="L1363" s="344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>
      <c r="A1364" s="10" t="s">
        <v>253</v>
      </c>
      <c r="B1364" s="226" t="s">
        <v>331</v>
      </c>
      <c r="C1364" s="10" t="s">
        <v>715</v>
      </c>
      <c r="D1364" s="85" t="s">
        <v>536</v>
      </c>
      <c r="E1364" s="157" t="s">
        <v>704</v>
      </c>
      <c r="F1364" s="14" t="s">
        <v>694</v>
      </c>
      <c r="G1364" s="17"/>
      <c r="H1364" s="10"/>
      <c r="I1364" s="17"/>
      <c r="J1364" s="82"/>
      <c r="K1364" s="340"/>
      <c r="L1364" s="344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>
      <c r="A1365" s="10" t="s">
        <v>253</v>
      </c>
      <c r="B1365" s="226" t="s">
        <v>331</v>
      </c>
      <c r="C1365" s="10" t="s">
        <v>715</v>
      </c>
      <c r="D1365" s="85" t="s">
        <v>536</v>
      </c>
      <c r="E1365" s="157" t="s">
        <v>704</v>
      </c>
      <c r="F1365" s="105" t="s">
        <v>730</v>
      </c>
      <c r="G1365" s="17"/>
      <c r="H1365" s="10"/>
      <c r="I1365" s="17"/>
      <c r="J1365" s="82"/>
      <c r="K1365" s="340"/>
      <c r="L1365" s="344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>
      <c r="A1366" s="10" t="s">
        <v>253</v>
      </c>
      <c r="B1366" s="226" t="s">
        <v>331</v>
      </c>
      <c r="C1366" s="10" t="s">
        <v>715</v>
      </c>
      <c r="D1366" s="85" t="s">
        <v>536</v>
      </c>
      <c r="E1366" s="238" t="s">
        <v>705</v>
      </c>
      <c r="F1366" s="14" t="s">
        <v>731</v>
      </c>
      <c r="G1366" s="140" t="s">
        <v>382</v>
      </c>
      <c r="H1366" s="10"/>
      <c r="I1366" s="17"/>
      <c r="J1366" s="82"/>
      <c r="K1366" s="340"/>
      <c r="L1366" s="344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>
      <c r="A1367" s="10" t="s">
        <v>253</v>
      </c>
      <c r="B1367" s="226" t="s">
        <v>331</v>
      </c>
      <c r="C1367" s="10" t="s">
        <v>715</v>
      </c>
      <c r="D1367" s="85" t="s">
        <v>536</v>
      </c>
      <c r="E1367" s="238" t="s">
        <v>705</v>
      </c>
      <c r="F1367" s="14" t="s">
        <v>732</v>
      </c>
      <c r="G1367" s="18" t="s">
        <v>384</v>
      </c>
      <c r="H1367" s="10"/>
      <c r="I1367" s="17"/>
      <c r="J1367" s="82"/>
      <c r="K1367" s="340"/>
      <c r="L1367" s="344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>
      <c r="A1368" s="10" t="s">
        <v>253</v>
      </c>
      <c r="B1368" s="226" t="s">
        <v>331</v>
      </c>
      <c r="C1368" s="10" t="s">
        <v>715</v>
      </c>
      <c r="D1368" s="85" t="s">
        <v>536</v>
      </c>
      <c r="E1368" s="238" t="s">
        <v>705</v>
      </c>
      <c r="F1368" s="14" t="s">
        <v>733</v>
      </c>
      <c r="G1368" s="18"/>
      <c r="H1368" s="10"/>
      <c r="I1368" s="17"/>
      <c r="J1368" s="82"/>
      <c r="K1368" s="340"/>
      <c r="L1368" s="344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>
      <c r="A1369" s="10" t="s">
        <v>253</v>
      </c>
      <c r="B1369" s="226" t="s">
        <v>331</v>
      </c>
      <c r="C1369" s="10" t="s">
        <v>715</v>
      </c>
      <c r="D1369" s="85" t="s">
        <v>536</v>
      </c>
      <c r="E1369" s="238" t="s">
        <v>705</v>
      </c>
      <c r="F1369" s="21" t="s">
        <v>734</v>
      </c>
      <c r="G1369" s="17"/>
      <c r="H1369" s="10"/>
      <c r="I1369" s="17"/>
      <c r="J1369" s="82"/>
      <c r="K1369" s="340"/>
      <c r="L1369" s="344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>
      <c r="A1370" s="10" t="s">
        <v>253</v>
      </c>
      <c r="B1370" s="226" t="s">
        <v>331</v>
      </c>
      <c r="C1370" s="10" t="s">
        <v>715</v>
      </c>
      <c r="D1370" s="85" t="s">
        <v>536</v>
      </c>
      <c r="E1370" s="238" t="s">
        <v>705</v>
      </c>
      <c r="F1370" s="21" t="s">
        <v>695</v>
      </c>
      <c r="G1370" s="17"/>
      <c r="H1370" s="10"/>
      <c r="I1370" s="17"/>
      <c r="J1370" s="82"/>
      <c r="K1370" s="340"/>
      <c r="L1370" s="344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>
      <c r="A1371" s="10" t="s">
        <v>253</v>
      </c>
      <c r="B1371" s="226" t="s">
        <v>331</v>
      </c>
      <c r="C1371" s="10" t="s">
        <v>715</v>
      </c>
      <c r="D1371" s="85" t="s">
        <v>536</v>
      </c>
      <c r="E1371" s="238" t="s">
        <v>705</v>
      </c>
      <c r="F1371" s="21" t="s">
        <v>696</v>
      </c>
      <c r="G1371" s="17"/>
      <c r="H1371" s="10"/>
      <c r="I1371" s="17"/>
      <c r="J1371" s="82"/>
      <c r="K1371" s="340"/>
      <c r="L1371" s="344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>
      <c r="A1372" s="10" t="s">
        <v>253</v>
      </c>
      <c r="B1372" s="226" t="s">
        <v>331</v>
      </c>
      <c r="C1372" s="10" t="s">
        <v>715</v>
      </c>
      <c r="D1372" s="85" t="s">
        <v>536</v>
      </c>
      <c r="E1372" s="238" t="s">
        <v>705</v>
      </c>
      <c r="F1372" s="14" t="s">
        <v>735</v>
      </c>
      <c r="G1372" s="17"/>
      <c r="H1372" s="10"/>
      <c r="I1372" s="17"/>
      <c r="J1372" s="82"/>
      <c r="K1372" s="340"/>
      <c r="L1372" s="344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>
      <c r="A1373" s="17" t="s">
        <v>253</v>
      </c>
      <c r="B1373" s="227" t="s">
        <v>331</v>
      </c>
      <c r="C1373" s="17" t="s">
        <v>715</v>
      </c>
      <c r="D1373" s="166" t="s">
        <v>536</v>
      </c>
      <c r="E1373" s="250"/>
      <c r="F1373" s="18"/>
      <c r="G1373" s="17"/>
      <c r="H1373" s="17"/>
      <c r="I1373" s="17"/>
      <c r="J1373" s="83"/>
      <c r="K1373" s="340"/>
      <c r="L1373" s="344"/>
      <c r="M1373" s="89"/>
      <c r="N1373" s="17" t="s">
        <v>176</v>
      </c>
      <c r="O1373" s="25" t="str">
        <f>IF(Enginuity!$A$22="Supply &amp; Install",70,IF(Enginuity!$A$22="Self Collect",0,""))</f>
        <v/>
      </c>
      <c r="P1373" s="119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>
      <c r="A1374" s="10" t="s">
        <v>253</v>
      </c>
      <c r="B1374" s="226" t="s">
        <v>331</v>
      </c>
      <c r="C1374" s="10" t="s">
        <v>715</v>
      </c>
      <c r="D1374" s="85" t="s">
        <v>537</v>
      </c>
      <c r="E1374" s="238" t="s">
        <v>703</v>
      </c>
      <c r="F1374" s="14" t="s">
        <v>736</v>
      </c>
      <c r="G1374" s="140" t="s">
        <v>382</v>
      </c>
      <c r="H1374" s="10"/>
      <c r="I1374" s="17"/>
      <c r="J1374" s="82"/>
      <c r="K1374" s="341">
        <v>0.24453800000000001</v>
      </c>
      <c r="L1374" s="344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>
      <c r="A1375" s="10" t="s">
        <v>253</v>
      </c>
      <c r="B1375" s="226" t="s">
        <v>331</v>
      </c>
      <c r="C1375" s="10" t="s">
        <v>715</v>
      </c>
      <c r="D1375" s="85" t="s">
        <v>537</v>
      </c>
      <c r="E1375" s="238" t="s">
        <v>703</v>
      </c>
      <c r="F1375" s="14" t="s">
        <v>737</v>
      </c>
      <c r="G1375" s="18" t="s">
        <v>384</v>
      </c>
      <c r="H1375" s="10"/>
      <c r="I1375" s="17"/>
      <c r="J1375" s="82"/>
      <c r="K1375" s="340"/>
      <c r="L1375" s="344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>
      <c r="A1376" s="10" t="s">
        <v>253</v>
      </c>
      <c r="B1376" s="226" t="s">
        <v>331</v>
      </c>
      <c r="C1376" s="10" t="s">
        <v>715</v>
      </c>
      <c r="D1376" s="85" t="s">
        <v>537</v>
      </c>
      <c r="E1376" s="238" t="s">
        <v>703</v>
      </c>
      <c r="F1376" s="14" t="s">
        <v>738</v>
      </c>
      <c r="G1376" s="18"/>
      <c r="H1376" s="10"/>
      <c r="I1376" s="17"/>
      <c r="J1376" s="82"/>
      <c r="K1376" s="340"/>
      <c r="L1376" s="344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>
      <c r="A1377" s="10" t="s">
        <v>253</v>
      </c>
      <c r="B1377" s="226" t="s">
        <v>331</v>
      </c>
      <c r="C1377" s="10" t="s">
        <v>715</v>
      </c>
      <c r="D1377" s="85" t="s">
        <v>537</v>
      </c>
      <c r="E1377" s="238" t="s">
        <v>703</v>
      </c>
      <c r="F1377" s="36" t="s">
        <v>739</v>
      </c>
      <c r="G1377" s="17"/>
      <c r="H1377" s="10"/>
      <c r="I1377" s="17"/>
      <c r="J1377" s="82"/>
      <c r="K1377" s="340"/>
      <c r="L1377" s="344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>
      <c r="A1378" s="10" t="s">
        <v>253</v>
      </c>
      <c r="B1378" s="226" t="s">
        <v>331</v>
      </c>
      <c r="C1378" s="10" t="s">
        <v>715</v>
      </c>
      <c r="D1378" s="85" t="s">
        <v>537</v>
      </c>
      <c r="E1378" s="238" t="s">
        <v>703</v>
      </c>
      <c r="F1378" s="14" t="s">
        <v>499</v>
      </c>
      <c r="G1378" s="17"/>
      <c r="H1378" s="10"/>
      <c r="I1378" s="17"/>
      <c r="J1378" s="82"/>
      <c r="K1378" s="340"/>
      <c r="L1378" s="344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>
      <c r="A1379" s="10" t="s">
        <v>253</v>
      </c>
      <c r="B1379" s="226" t="s">
        <v>331</v>
      </c>
      <c r="C1379" s="10" t="s">
        <v>715</v>
      </c>
      <c r="D1379" s="85" t="s">
        <v>537</v>
      </c>
      <c r="E1379" s="238" t="s">
        <v>703</v>
      </c>
      <c r="F1379" s="105" t="s">
        <v>500</v>
      </c>
      <c r="G1379" s="17"/>
      <c r="H1379" s="10"/>
      <c r="I1379" s="17"/>
      <c r="J1379" s="82"/>
      <c r="K1379" s="340"/>
      <c r="L1379" s="344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>
      <c r="A1380" s="10" t="s">
        <v>253</v>
      </c>
      <c r="B1380" s="226" t="s">
        <v>331</v>
      </c>
      <c r="C1380" s="10" t="s">
        <v>715</v>
      </c>
      <c r="D1380" s="85" t="s">
        <v>537</v>
      </c>
      <c r="E1380" s="238" t="s">
        <v>703</v>
      </c>
      <c r="F1380" s="14" t="s">
        <v>501</v>
      </c>
      <c r="G1380" s="140"/>
      <c r="H1380" s="10"/>
      <c r="I1380" s="17"/>
      <c r="J1380" s="82"/>
      <c r="K1380" s="340"/>
      <c r="L1380" s="344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>
      <c r="A1381" s="10" t="s">
        <v>253</v>
      </c>
      <c r="B1381" s="226" t="s">
        <v>331</v>
      </c>
      <c r="C1381" s="10" t="s">
        <v>715</v>
      </c>
      <c r="D1381" s="85" t="s">
        <v>537</v>
      </c>
      <c r="E1381" s="158" t="s">
        <v>479</v>
      </c>
      <c r="F1381" s="14" t="s">
        <v>740</v>
      </c>
      <c r="G1381" s="140" t="s">
        <v>382</v>
      </c>
      <c r="H1381" s="10"/>
      <c r="I1381" s="17"/>
      <c r="J1381" s="82"/>
      <c r="K1381" s="340"/>
      <c r="L1381" s="344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>
      <c r="A1382" s="10" t="s">
        <v>253</v>
      </c>
      <c r="B1382" s="226" t="s">
        <v>331</v>
      </c>
      <c r="C1382" s="10" t="s">
        <v>715</v>
      </c>
      <c r="D1382" s="85" t="s">
        <v>537</v>
      </c>
      <c r="E1382" s="158" t="s">
        <v>479</v>
      </c>
      <c r="F1382" s="14" t="s">
        <v>741</v>
      </c>
      <c r="G1382" s="18" t="s">
        <v>384</v>
      </c>
      <c r="H1382" s="10"/>
      <c r="I1382" s="17"/>
      <c r="J1382" s="82"/>
      <c r="K1382" s="340"/>
      <c r="L1382" s="344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>
      <c r="A1383" s="10" t="s">
        <v>253</v>
      </c>
      <c r="B1383" s="226" t="s">
        <v>331</v>
      </c>
      <c r="C1383" s="10" t="s">
        <v>715</v>
      </c>
      <c r="D1383" s="85" t="s">
        <v>537</v>
      </c>
      <c r="E1383" s="158" t="s">
        <v>479</v>
      </c>
      <c r="F1383" s="14" t="s">
        <v>742</v>
      </c>
      <c r="G1383" s="18"/>
      <c r="H1383" s="10"/>
      <c r="I1383" s="17"/>
      <c r="J1383" s="82"/>
      <c r="K1383" s="340"/>
      <c r="L1383" s="344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>
      <c r="A1384" s="10" t="s">
        <v>253</v>
      </c>
      <c r="B1384" s="226" t="s">
        <v>331</v>
      </c>
      <c r="C1384" s="10" t="s">
        <v>715</v>
      </c>
      <c r="D1384" s="85" t="s">
        <v>537</v>
      </c>
      <c r="E1384" s="158" t="s">
        <v>479</v>
      </c>
      <c r="F1384" s="21" t="s">
        <v>743</v>
      </c>
      <c r="G1384" s="17"/>
      <c r="H1384" s="10"/>
      <c r="I1384" s="17"/>
      <c r="J1384" s="82"/>
      <c r="K1384" s="340"/>
      <c r="L1384" s="344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>
      <c r="A1385" s="10" t="s">
        <v>253</v>
      </c>
      <c r="B1385" s="226" t="s">
        <v>331</v>
      </c>
      <c r="C1385" s="10" t="s">
        <v>715</v>
      </c>
      <c r="D1385" s="85" t="s">
        <v>537</v>
      </c>
      <c r="E1385" s="158" t="s">
        <v>479</v>
      </c>
      <c r="F1385" s="105" t="s">
        <v>744</v>
      </c>
      <c r="G1385" s="17"/>
      <c r="H1385" s="10"/>
      <c r="I1385" s="17"/>
      <c r="J1385" s="82"/>
      <c r="K1385" s="340"/>
      <c r="L1385" s="344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>
      <c r="A1386" s="10" t="s">
        <v>253</v>
      </c>
      <c r="B1386" s="226" t="s">
        <v>331</v>
      </c>
      <c r="C1386" s="10" t="s">
        <v>715</v>
      </c>
      <c r="D1386" s="85" t="s">
        <v>537</v>
      </c>
      <c r="E1386" s="158" t="s">
        <v>479</v>
      </c>
      <c r="F1386" s="21" t="s">
        <v>745</v>
      </c>
      <c r="G1386" s="140"/>
      <c r="H1386" s="10"/>
      <c r="I1386" s="17"/>
      <c r="J1386" s="82"/>
      <c r="K1386" s="340"/>
      <c r="L1386" s="344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>
      <c r="A1387" s="10" t="s">
        <v>253</v>
      </c>
      <c r="B1387" s="226" t="s">
        <v>331</v>
      </c>
      <c r="C1387" s="10" t="s">
        <v>715</v>
      </c>
      <c r="D1387" s="85" t="s">
        <v>537</v>
      </c>
      <c r="E1387" s="157" t="s">
        <v>704</v>
      </c>
      <c r="F1387" s="14" t="s">
        <v>746</v>
      </c>
      <c r="G1387" s="140" t="s">
        <v>382</v>
      </c>
      <c r="H1387" s="10"/>
      <c r="I1387" s="17"/>
      <c r="J1387" s="82"/>
      <c r="K1387" s="340"/>
      <c r="L1387" s="344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>
      <c r="A1388" s="10" t="s">
        <v>253</v>
      </c>
      <c r="B1388" s="226" t="s">
        <v>331</v>
      </c>
      <c r="C1388" s="10" t="s">
        <v>715</v>
      </c>
      <c r="D1388" s="85" t="s">
        <v>537</v>
      </c>
      <c r="E1388" s="157" t="s">
        <v>704</v>
      </c>
      <c r="F1388" s="14" t="s">
        <v>747</v>
      </c>
      <c r="G1388" s="18" t="s">
        <v>384</v>
      </c>
      <c r="H1388" s="10"/>
      <c r="I1388" s="17"/>
      <c r="J1388" s="82"/>
      <c r="K1388" s="340"/>
      <c r="L1388" s="344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>
      <c r="A1389" s="10" t="s">
        <v>253</v>
      </c>
      <c r="B1389" s="226" t="s">
        <v>331</v>
      </c>
      <c r="C1389" s="10" t="s">
        <v>715</v>
      </c>
      <c r="D1389" s="85" t="s">
        <v>537</v>
      </c>
      <c r="E1389" s="157" t="s">
        <v>704</v>
      </c>
      <c r="F1389" s="14" t="s">
        <v>748</v>
      </c>
      <c r="G1389" s="18"/>
      <c r="H1389" s="10"/>
      <c r="I1389" s="17"/>
      <c r="J1389" s="82"/>
      <c r="K1389" s="340"/>
      <c r="L1389" s="344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>
      <c r="A1390" s="10" t="s">
        <v>253</v>
      </c>
      <c r="B1390" s="226" t="s">
        <v>331</v>
      </c>
      <c r="C1390" s="10" t="s">
        <v>715</v>
      </c>
      <c r="D1390" s="85" t="s">
        <v>537</v>
      </c>
      <c r="E1390" s="157" t="s">
        <v>704</v>
      </c>
      <c r="F1390" s="36" t="s">
        <v>749</v>
      </c>
      <c r="G1390" s="17"/>
      <c r="H1390" s="10"/>
      <c r="I1390" s="17"/>
      <c r="J1390" s="82"/>
      <c r="K1390" s="340"/>
      <c r="L1390" s="344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>
      <c r="A1391" s="10" t="s">
        <v>253</v>
      </c>
      <c r="B1391" s="226" t="s">
        <v>331</v>
      </c>
      <c r="C1391" s="10" t="s">
        <v>715</v>
      </c>
      <c r="D1391" s="85" t="s">
        <v>537</v>
      </c>
      <c r="E1391" s="157" t="s">
        <v>704</v>
      </c>
      <c r="F1391" s="14" t="s">
        <v>511</v>
      </c>
      <c r="G1391" s="17"/>
      <c r="H1391" s="10"/>
      <c r="I1391" s="17"/>
      <c r="J1391" s="82"/>
      <c r="K1391" s="340"/>
      <c r="L1391" s="344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>
      <c r="A1392" s="10" t="s">
        <v>253</v>
      </c>
      <c r="B1392" s="226" t="s">
        <v>331</v>
      </c>
      <c r="C1392" s="10" t="s">
        <v>715</v>
      </c>
      <c r="D1392" s="85" t="s">
        <v>537</v>
      </c>
      <c r="E1392" s="157" t="s">
        <v>704</v>
      </c>
      <c r="F1392" s="14" t="s">
        <v>512</v>
      </c>
      <c r="G1392" s="17"/>
      <c r="H1392" s="10"/>
      <c r="I1392" s="17"/>
      <c r="J1392" s="82"/>
      <c r="K1392" s="340"/>
      <c r="L1392" s="344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>
      <c r="A1393" s="10" t="s">
        <v>253</v>
      </c>
      <c r="B1393" s="226" t="s">
        <v>331</v>
      </c>
      <c r="C1393" s="10" t="s">
        <v>715</v>
      </c>
      <c r="D1393" s="85" t="s">
        <v>537</v>
      </c>
      <c r="E1393" s="157" t="s">
        <v>704</v>
      </c>
      <c r="F1393" s="105" t="s">
        <v>513</v>
      </c>
      <c r="G1393" s="17"/>
      <c r="H1393" s="10"/>
      <c r="I1393" s="17"/>
      <c r="J1393" s="82"/>
      <c r="K1393" s="340"/>
      <c r="L1393" s="344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>
      <c r="A1394" s="10" t="s">
        <v>253</v>
      </c>
      <c r="B1394" s="226" t="s">
        <v>331</v>
      </c>
      <c r="C1394" s="10" t="s">
        <v>715</v>
      </c>
      <c r="D1394" s="85" t="s">
        <v>537</v>
      </c>
      <c r="E1394" s="238" t="s">
        <v>705</v>
      </c>
      <c r="F1394" s="14" t="s">
        <v>750</v>
      </c>
      <c r="G1394" s="140" t="s">
        <v>382</v>
      </c>
      <c r="H1394" s="10"/>
      <c r="I1394" s="17"/>
      <c r="J1394" s="82"/>
      <c r="K1394" s="340"/>
      <c r="L1394" s="344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>
      <c r="A1395" s="10" t="s">
        <v>253</v>
      </c>
      <c r="B1395" s="226" t="s">
        <v>331</v>
      </c>
      <c r="C1395" s="10" t="s">
        <v>715</v>
      </c>
      <c r="D1395" s="85" t="s">
        <v>537</v>
      </c>
      <c r="E1395" s="238" t="s">
        <v>705</v>
      </c>
      <c r="F1395" s="14" t="s">
        <v>751</v>
      </c>
      <c r="G1395" s="18" t="s">
        <v>384</v>
      </c>
      <c r="H1395" s="10"/>
      <c r="I1395" s="17"/>
      <c r="J1395" s="82"/>
      <c r="K1395" s="340"/>
      <c r="L1395" s="344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>
      <c r="A1396" s="10" t="s">
        <v>253</v>
      </c>
      <c r="B1396" s="226" t="s">
        <v>331</v>
      </c>
      <c r="C1396" s="10" t="s">
        <v>715</v>
      </c>
      <c r="D1396" s="85" t="s">
        <v>537</v>
      </c>
      <c r="E1396" s="238" t="s">
        <v>705</v>
      </c>
      <c r="F1396" s="14" t="s">
        <v>752</v>
      </c>
      <c r="G1396" s="18"/>
      <c r="H1396" s="10"/>
      <c r="I1396" s="17"/>
      <c r="J1396" s="82"/>
      <c r="K1396" s="340"/>
      <c r="L1396" s="344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>
      <c r="A1397" s="10" t="s">
        <v>253</v>
      </c>
      <c r="B1397" s="226" t="s">
        <v>331</v>
      </c>
      <c r="C1397" s="10" t="s">
        <v>715</v>
      </c>
      <c r="D1397" s="85" t="s">
        <v>537</v>
      </c>
      <c r="E1397" s="238" t="s">
        <v>705</v>
      </c>
      <c r="F1397" s="21" t="s">
        <v>753</v>
      </c>
      <c r="G1397" s="17"/>
      <c r="H1397" s="10"/>
      <c r="I1397" s="17"/>
      <c r="J1397" s="82"/>
      <c r="K1397" s="340"/>
      <c r="L1397" s="344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>
      <c r="A1398" s="10" t="s">
        <v>253</v>
      </c>
      <c r="B1398" s="226" t="s">
        <v>331</v>
      </c>
      <c r="C1398" s="10" t="s">
        <v>715</v>
      </c>
      <c r="D1398" s="85" t="s">
        <v>537</v>
      </c>
      <c r="E1398" s="238" t="s">
        <v>705</v>
      </c>
      <c r="F1398" s="21" t="s">
        <v>527</v>
      </c>
      <c r="G1398" s="17"/>
      <c r="H1398" s="10"/>
      <c r="I1398" s="17"/>
      <c r="J1398" s="82"/>
      <c r="K1398" s="340"/>
      <c r="L1398" s="344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>
      <c r="A1399" s="10" t="s">
        <v>253</v>
      </c>
      <c r="B1399" s="226" t="s">
        <v>331</v>
      </c>
      <c r="C1399" s="10" t="s">
        <v>715</v>
      </c>
      <c r="D1399" s="85" t="s">
        <v>537</v>
      </c>
      <c r="E1399" s="238" t="s">
        <v>705</v>
      </c>
      <c r="F1399" s="21" t="s">
        <v>528</v>
      </c>
      <c r="G1399" s="17"/>
      <c r="H1399" s="10"/>
      <c r="I1399" s="17"/>
      <c r="J1399" s="82"/>
      <c r="K1399" s="340"/>
      <c r="L1399" s="344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>
      <c r="A1400" s="10" t="s">
        <v>253</v>
      </c>
      <c r="B1400" s="226" t="s">
        <v>331</v>
      </c>
      <c r="C1400" s="10" t="s">
        <v>715</v>
      </c>
      <c r="D1400" s="85" t="s">
        <v>537</v>
      </c>
      <c r="E1400" s="238" t="s">
        <v>705</v>
      </c>
      <c r="F1400" s="14" t="s">
        <v>529</v>
      </c>
      <c r="G1400" s="17"/>
      <c r="H1400" s="10"/>
      <c r="I1400" s="17"/>
      <c r="J1400" s="82"/>
      <c r="K1400" s="340"/>
      <c r="L1400" s="344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>
      <c r="A1401" s="17" t="s">
        <v>253</v>
      </c>
      <c r="B1401" s="227" t="s">
        <v>331</v>
      </c>
      <c r="C1401" s="17" t="s">
        <v>715</v>
      </c>
      <c r="D1401" s="166" t="s">
        <v>537</v>
      </c>
      <c r="E1401" s="250"/>
      <c r="F1401" s="18"/>
      <c r="G1401" s="17"/>
      <c r="H1401" s="17"/>
      <c r="I1401" s="17"/>
      <c r="J1401" s="83"/>
      <c r="K1401" s="340"/>
      <c r="L1401" s="344"/>
      <c r="M1401" s="89"/>
      <c r="N1401" s="17" t="s">
        <v>176</v>
      </c>
      <c r="O1401" s="25" t="str">
        <f>IF(Enginuity!$A$22="Supply &amp; Install",70,IF(Enginuity!$A$22="Self Collect",0,""))</f>
        <v/>
      </c>
      <c r="P1401" s="119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>
      <c r="A1420" s="10" t="s">
        <v>795</v>
      </c>
      <c r="B1420" s="230" t="s">
        <v>796</v>
      </c>
      <c r="C1420" s="14" t="s">
        <v>803</v>
      </c>
      <c r="D1420" s="14" t="s">
        <v>804</v>
      </c>
      <c r="E1420" s="155"/>
      <c r="F1420" s="10"/>
      <c r="G1420" s="17"/>
      <c r="H1420" s="10"/>
      <c r="I1420" s="17"/>
      <c r="J1420" s="82"/>
      <c r="K1420" s="341">
        <v>0</v>
      </c>
      <c r="L1420" s="344">
        <f>IF(OR(Enginuity!$B$6="",Enginuity!$B$7=""),"",2*(Enginuity!$B$6+Enginuity!$B$7))</f>
        <v>32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>
      <c r="A1421" s="10" t="s">
        <v>795</v>
      </c>
      <c r="B1421" s="230" t="s">
        <v>796</v>
      </c>
      <c r="C1421" s="14" t="s">
        <v>803</v>
      </c>
      <c r="D1421" s="14" t="s">
        <v>807</v>
      </c>
      <c r="E1421" s="158"/>
      <c r="F1421" s="14"/>
      <c r="G1421" s="17"/>
      <c r="H1421" s="10"/>
      <c r="I1421" s="17"/>
      <c r="J1421" s="82"/>
      <c r="K1421" s="341"/>
      <c r="L1421" s="344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>
      <c r="A1422" s="10" t="s">
        <v>795</v>
      </c>
      <c r="B1422" s="230" t="s">
        <v>796</v>
      </c>
      <c r="C1422" s="14" t="s">
        <v>803</v>
      </c>
      <c r="D1422" s="14" t="s">
        <v>822</v>
      </c>
      <c r="E1422" s="155"/>
      <c r="F1422" s="21"/>
      <c r="G1422" s="17"/>
      <c r="H1422" s="10"/>
      <c r="I1422" s="17"/>
      <c r="J1422" s="82"/>
      <c r="K1422" s="341"/>
      <c r="L1422" s="344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>
      <c r="A1423" s="10" t="s">
        <v>795</v>
      </c>
      <c r="B1423" s="230" t="s">
        <v>796</v>
      </c>
      <c r="C1423" s="14" t="s">
        <v>803</v>
      </c>
      <c r="D1423" s="14" t="s">
        <v>805</v>
      </c>
      <c r="E1423" s="155"/>
      <c r="F1423" s="21"/>
      <c r="G1423" s="17"/>
      <c r="H1423" s="10"/>
      <c r="I1423" s="17"/>
      <c r="J1423" s="82"/>
      <c r="K1423" s="341"/>
      <c r="L1423" s="344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>
      <c r="A1424" s="10" t="s">
        <v>795</v>
      </c>
      <c r="B1424" s="230" t="s">
        <v>796</v>
      </c>
      <c r="C1424" s="14" t="s">
        <v>803</v>
      </c>
      <c r="D1424" s="14" t="s">
        <v>806</v>
      </c>
      <c r="E1424" s="155"/>
      <c r="F1424" s="14"/>
      <c r="G1424" s="17"/>
      <c r="H1424" s="10"/>
      <c r="I1424" s="17"/>
      <c r="J1424" s="82"/>
      <c r="K1424" s="341"/>
      <c r="L1424" s="344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>
      <c r="A1425" s="10" t="s">
        <v>795</v>
      </c>
      <c r="B1425" s="230" t="s">
        <v>815</v>
      </c>
      <c r="C1425" s="14" t="s">
        <v>818</v>
      </c>
      <c r="D1425" s="14"/>
      <c r="E1425" s="158"/>
      <c r="F1425" s="14"/>
      <c r="G1425" s="17"/>
      <c r="H1425" s="10"/>
      <c r="I1425" s="17"/>
      <c r="J1425" s="82"/>
      <c r="K1425" s="341">
        <v>0</v>
      </c>
      <c r="L1425" s="344">
        <f>IF(OR(Enginuity!$B$6="",Enginuity!$B$7=""),"",2*(Enginuity!$B$6+Enginuity!$B$7))</f>
        <v>32</v>
      </c>
      <c r="M1425" s="88"/>
      <c r="N1425" s="12" t="s">
        <v>817</v>
      </c>
      <c r="O1425" s="22"/>
      <c r="P1425" s="5" t="str">
        <f>Enginuity!$A$18</f>
        <v>Folding Door Exposed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>
      <c r="A1426" s="10" t="s">
        <v>795</v>
      </c>
      <c r="B1426" s="230" t="s">
        <v>815</v>
      </c>
      <c r="C1426" s="14" t="s">
        <v>819</v>
      </c>
      <c r="D1426" s="14"/>
      <c r="E1426" s="158"/>
      <c r="F1426" s="36"/>
      <c r="G1426" s="17"/>
      <c r="H1426" s="10"/>
      <c r="I1426" s="17"/>
      <c r="J1426" s="82"/>
      <c r="K1426" s="340"/>
      <c r="L1426" s="344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>
      <c r="A1427" s="17" t="s">
        <v>795</v>
      </c>
      <c r="B1427" s="227"/>
      <c r="C1427" s="18"/>
      <c r="D1427" s="18"/>
      <c r="E1427" s="250"/>
      <c r="F1427" s="18"/>
      <c r="G1427" s="17"/>
      <c r="H1427" s="17"/>
      <c r="I1427" s="17"/>
      <c r="J1427" s="83"/>
      <c r="K1427" s="340"/>
      <c r="L1427" s="344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>
      <c r="A1428" s="10" t="s">
        <v>795</v>
      </c>
      <c r="B1428" s="230" t="s">
        <v>796</v>
      </c>
      <c r="C1428" s="14" t="s">
        <v>832</v>
      </c>
      <c r="D1428" s="106" t="s">
        <v>828</v>
      </c>
      <c r="E1428" s="158"/>
      <c r="F1428" s="14"/>
      <c r="G1428" s="17"/>
      <c r="H1428" s="10"/>
      <c r="I1428" s="17"/>
      <c r="J1428" s="82"/>
      <c r="K1428" s="341">
        <v>0</v>
      </c>
      <c r="L1428" s="344">
        <f>IF(OR(Enginuity!$B$6="",Enginuity!$B$7=""),"",2*(Enginuity!$B$6+Enginuity!$B$7))</f>
        <v>32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>
      <c r="A1429" s="10" t="s">
        <v>795</v>
      </c>
      <c r="B1429" s="230" t="s">
        <v>796</v>
      </c>
      <c r="C1429" s="14" t="s">
        <v>832</v>
      </c>
      <c r="D1429" s="106" t="s">
        <v>829</v>
      </c>
      <c r="E1429" s="244"/>
      <c r="F1429" s="10"/>
      <c r="G1429" s="17"/>
      <c r="H1429" s="10"/>
      <c r="I1429" s="17"/>
      <c r="J1429" s="82"/>
      <c r="K1429" s="340"/>
      <c r="L1429" s="344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>
      <c r="A1430" s="10" t="s">
        <v>795</v>
      </c>
      <c r="B1430" s="230" t="s">
        <v>796</v>
      </c>
      <c r="C1430" s="14" t="s">
        <v>832</v>
      </c>
      <c r="D1430" s="106" t="s">
        <v>830</v>
      </c>
      <c r="E1430" s="155"/>
      <c r="F1430" s="10"/>
      <c r="G1430" s="17"/>
      <c r="H1430" s="10"/>
      <c r="I1430" s="17"/>
      <c r="J1430" s="82"/>
      <c r="K1430" s="340"/>
      <c r="L1430" s="344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>
      <c r="A1431" s="10" t="s">
        <v>795</v>
      </c>
      <c r="B1431" s="230" t="s">
        <v>796</v>
      </c>
      <c r="C1431" s="14" t="s">
        <v>832</v>
      </c>
      <c r="D1431" s="106" t="s">
        <v>831</v>
      </c>
      <c r="E1431" s="155"/>
      <c r="F1431" s="10"/>
      <c r="G1431" s="17"/>
      <c r="H1431" s="10"/>
      <c r="I1431" s="17"/>
      <c r="J1431" s="82"/>
      <c r="K1431" s="340"/>
      <c r="L1431" s="344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>
      <c r="A1432" s="17" t="s">
        <v>795</v>
      </c>
      <c r="B1432" s="231"/>
      <c r="C1432" s="18"/>
      <c r="D1432" s="18"/>
      <c r="E1432" s="235"/>
      <c r="F1432" s="17"/>
      <c r="G1432" s="17"/>
      <c r="H1432" s="17"/>
      <c r="I1432" s="17"/>
      <c r="J1432" s="83"/>
      <c r="K1432" s="341"/>
      <c r="L1432" s="344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>
      <c r="A1433" s="10" t="s">
        <v>795</v>
      </c>
      <c r="B1433" s="230" t="s">
        <v>796</v>
      </c>
      <c r="C1433" s="14" t="s">
        <v>833</v>
      </c>
      <c r="D1433" s="14" t="s">
        <v>834</v>
      </c>
      <c r="E1433" s="155"/>
      <c r="F1433" s="10"/>
      <c r="G1433" s="17"/>
      <c r="H1433" s="10"/>
      <c r="I1433" s="17"/>
      <c r="J1433" s="82"/>
      <c r="K1433" s="341">
        <v>0</v>
      </c>
      <c r="L1433" s="344">
        <f>IF(OR(Enginuity!$B$6="",Enginuity!$B$7=""),"",2*(Enginuity!$B$6+Enginuity!$B$7))</f>
        <v>32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>
      <c r="A1434" s="10" t="s">
        <v>795</v>
      </c>
      <c r="B1434" s="230" t="s">
        <v>796</v>
      </c>
      <c r="C1434" s="14" t="s">
        <v>833</v>
      </c>
      <c r="D1434" s="14" t="s">
        <v>835</v>
      </c>
      <c r="E1434" s="155"/>
      <c r="F1434" s="10"/>
      <c r="G1434" s="17"/>
      <c r="H1434" s="10"/>
      <c r="I1434" s="17"/>
      <c r="J1434" s="82"/>
      <c r="K1434" s="340"/>
      <c r="L1434" s="344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>
      <c r="A1435" s="10" t="s">
        <v>795</v>
      </c>
      <c r="B1435" s="230" t="s">
        <v>796</v>
      </c>
      <c r="C1435" s="14" t="s">
        <v>833</v>
      </c>
      <c r="D1435" s="14" t="s">
        <v>836</v>
      </c>
      <c r="E1435" s="155"/>
      <c r="F1435" s="10"/>
      <c r="G1435" s="17"/>
      <c r="H1435" s="10"/>
      <c r="I1435" s="17"/>
      <c r="J1435" s="82"/>
      <c r="K1435" s="340"/>
      <c r="L1435" s="344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>
      <c r="A1436" s="100"/>
      <c r="B1436" s="229"/>
      <c r="C1436" s="100"/>
      <c r="D1436" s="148"/>
      <c r="E1436" s="165"/>
      <c r="F1436" s="100"/>
      <c r="G1436" s="17"/>
      <c r="H1436" s="100"/>
      <c r="I1436" s="17"/>
      <c r="J1436" s="149"/>
      <c r="K1436" s="340"/>
      <c r="L1436" s="344"/>
      <c r="M1436" s="150"/>
      <c r="N1436" s="100"/>
      <c r="O1436" s="152"/>
      <c r="P1436" s="198"/>
      <c r="Q1436" s="199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>
      <c r="A1437" s="10" t="s">
        <v>795</v>
      </c>
      <c r="B1437" s="230" t="s">
        <v>837</v>
      </c>
      <c r="C1437" s="14" t="s">
        <v>818</v>
      </c>
      <c r="D1437" s="36" t="str">
        <f>P1437</f>
        <v>Silicone Reseal (Perimeter)</v>
      </c>
      <c r="E1437" s="155"/>
      <c r="F1437" s="10"/>
      <c r="G1437" s="17"/>
      <c r="H1437" s="10"/>
      <c r="I1437" s="17"/>
      <c r="J1437" s="82"/>
      <c r="K1437" s="341">
        <v>0</v>
      </c>
      <c r="L1437" s="344">
        <f>IF(OR(Enginuity!$B$6="",Enginuity!$B$7=""),"",2*(Enginuity!$B$6+Enginuity!$B$7))</f>
        <v>32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>
      <c r="A1438" s="10" t="s">
        <v>795</v>
      </c>
      <c r="B1438" s="230" t="s">
        <v>837</v>
      </c>
      <c r="C1438" s="14" t="s">
        <v>818</v>
      </c>
      <c r="D1438" s="36" t="str">
        <f>P1438</f>
        <v>Perimeter Skim 2-4"</v>
      </c>
      <c r="E1438" s="155"/>
      <c r="F1438" s="10"/>
      <c r="G1438" s="17"/>
      <c r="H1438" s="10"/>
      <c r="I1438" s="17"/>
      <c r="J1438" s="82"/>
      <c r="K1438" s="340"/>
      <c r="L1438" s="344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>
      <c r="A1439" s="17" t="s">
        <v>795</v>
      </c>
      <c r="B1439" s="231"/>
      <c r="C1439" s="18"/>
      <c r="D1439" s="18"/>
      <c r="E1439" s="235"/>
      <c r="F1439" s="17"/>
      <c r="G1439" s="17"/>
      <c r="H1439" s="17"/>
      <c r="I1439" s="17"/>
      <c r="J1439" s="83"/>
      <c r="K1439" s="340"/>
      <c r="L1439" s="344"/>
      <c r="M1439" s="89"/>
      <c r="N1439" s="17"/>
      <c r="O1439" s="25"/>
      <c r="P1439" s="91"/>
      <c r="Q1439" s="177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>
      <c r="A1440" s="10" t="s">
        <v>795</v>
      </c>
      <c r="B1440" s="230" t="s">
        <v>837</v>
      </c>
      <c r="C1440" s="14" t="s">
        <v>838</v>
      </c>
      <c r="D1440" s="36" t="str">
        <f>P1440</f>
        <v>Final Cleaning</v>
      </c>
      <c r="E1440" s="155"/>
      <c r="F1440" s="10"/>
      <c r="G1440" s="17"/>
      <c r="H1440" s="10"/>
      <c r="I1440" s="17"/>
      <c r="J1440" s="82"/>
      <c r="K1440" s="341">
        <v>0</v>
      </c>
      <c r="L1440" s="344">
        <f>IF(OR(Enginuity!$B$6="",Enginuity!$B$7=""),"",2*(Enginuity!$B$6+Enginuity!$B$7))</f>
        <v>32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>
      <c r="A1441" s="10" t="s">
        <v>795</v>
      </c>
      <c r="B1441" s="230" t="s">
        <v>837</v>
      </c>
      <c r="C1441" s="14" t="s">
        <v>838</v>
      </c>
      <c r="D1441" s="36" t="str">
        <f t="shared" ref="D1441:D1446" si="23">P1441</f>
        <v>Paint Spot (Prime+Topcoat)</v>
      </c>
      <c r="E1441" s="155"/>
      <c r="F1441" s="10"/>
      <c r="G1441" s="17"/>
      <c r="H1441" s="10"/>
      <c r="I1441" s="17"/>
      <c r="J1441" s="82"/>
      <c r="K1441" s="340"/>
      <c r="L1441" s="344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>
      <c r="A1442" s="10" t="s">
        <v>795</v>
      </c>
      <c r="B1442" s="230" t="s">
        <v>837</v>
      </c>
      <c r="C1442" s="14" t="s">
        <v>838</v>
      </c>
      <c r="D1442" s="36" t="str">
        <f t="shared" si="23"/>
        <v>Plaster &amp; Skim (Area)</v>
      </c>
      <c r="E1442" s="155"/>
      <c r="F1442" s="10"/>
      <c r="G1442" s="17"/>
      <c r="H1442" s="10"/>
      <c r="I1442" s="17"/>
      <c r="J1442" s="82"/>
      <c r="K1442" s="340"/>
      <c r="L1442" s="344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>
      <c r="A1443" s="10" t="s">
        <v>795</v>
      </c>
      <c r="B1443" s="230" t="s">
        <v>837</v>
      </c>
      <c r="C1443" s="14" t="s">
        <v>838</v>
      </c>
      <c r="D1443" s="36" t="str">
        <f t="shared" si="23"/>
        <v>Facade Patch &amp; Repaint</v>
      </c>
      <c r="E1443" s="155"/>
      <c r="F1443" s="10"/>
      <c r="G1443" s="17"/>
      <c r="H1443" s="10"/>
      <c r="I1443" s="17"/>
      <c r="J1443" s="82"/>
      <c r="K1443" s="340"/>
      <c r="L1443" s="344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>
      <c r="A1444" s="10" t="s">
        <v>795</v>
      </c>
      <c r="B1444" s="230" t="s">
        <v>837</v>
      </c>
      <c r="C1444" s="14" t="s">
        <v>838</v>
      </c>
      <c r="D1444" s="36" t="str">
        <f t="shared" si="23"/>
        <v>Waterproofing Patch</v>
      </c>
      <c r="E1444" s="155"/>
      <c r="F1444" s="10"/>
      <c r="G1444" s="17"/>
      <c r="H1444" s="10"/>
      <c r="I1444" s="17"/>
      <c r="J1444" s="82"/>
      <c r="K1444" s="340"/>
      <c r="L1444" s="344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>
      <c r="A1445" s="10" t="s">
        <v>795</v>
      </c>
      <c r="B1445" s="230" t="s">
        <v>837</v>
      </c>
      <c r="C1445" s="14" t="s">
        <v>838</v>
      </c>
      <c r="D1445" s="36" t="str">
        <f t="shared" si="23"/>
        <v>Tile Re-Lay</v>
      </c>
      <c r="E1445" s="155"/>
      <c r="F1445" s="10"/>
      <c r="G1445" s="17"/>
      <c r="H1445" s="10"/>
      <c r="I1445" s="17"/>
      <c r="J1445" s="82"/>
      <c r="K1445" s="340"/>
      <c r="L1445" s="344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>
      <c r="A1446" s="10" t="s">
        <v>795</v>
      </c>
      <c r="B1446" s="230" t="s">
        <v>837</v>
      </c>
      <c r="C1446" s="14" t="s">
        <v>838</v>
      </c>
      <c r="D1446" s="36" t="str">
        <f t="shared" si="23"/>
        <v>Glass Refit/Replace</v>
      </c>
      <c r="E1446" s="155"/>
      <c r="F1446" s="10"/>
      <c r="G1446" s="17"/>
      <c r="H1446" s="10"/>
      <c r="I1446" s="17"/>
      <c r="J1446" s="82"/>
      <c r="K1446" s="340"/>
      <c r="L1446" s="344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>
      <c r="A1447" s="17" t="s">
        <v>795</v>
      </c>
      <c r="B1447" s="227"/>
      <c r="C1447" s="18"/>
      <c r="D1447" s="18"/>
      <c r="E1447" s="235"/>
      <c r="F1447" s="17"/>
      <c r="G1447" s="17"/>
      <c r="H1447" s="17"/>
      <c r="I1447" s="17"/>
      <c r="J1447" s="83"/>
      <c r="K1447" s="340"/>
      <c r="L1447" s="344"/>
      <c r="M1447" s="89"/>
      <c r="N1447" s="17"/>
      <c r="O1447" s="25"/>
      <c r="P1447" s="91"/>
      <c r="Q1447" s="177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>
      <c r="A1448" s="10" t="s">
        <v>795</v>
      </c>
      <c r="B1448" s="230" t="s">
        <v>837</v>
      </c>
      <c r="C1448" s="14" t="s">
        <v>859</v>
      </c>
      <c r="D1448" s="36" t="str">
        <f>P1448</f>
        <v>Skirting/Architrave</v>
      </c>
      <c r="E1448" s="155"/>
      <c r="F1448" s="10"/>
      <c r="G1448" s="17"/>
      <c r="H1448" s="10"/>
      <c r="I1448" s="17"/>
      <c r="J1448" s="82"/>
      <c r="K1448" s="341">
        <v>0</v>
      </c>
      <c r="L1448" s="344">
        <f>IF(OR(Enginuity!$B$6="",Enginuity!$B$7=""),"",2*(Enginuity!$B$6+Enginuity!$B$7))</f>
        <v>32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>
      <c r="A1449" s="10" t="s">
        <v>795</v>
      </c>
      <c r="B1449" s="230" t="s">
        <v>837</v>
      </c>
      <c r="C1449" s="14" t="s">
        <v>859</v>
      </c>
      <c r="D1449" s="36" t="str">
        <f t="shared" ref="D1449:D1450" si="24">P1449</f>
        <v>Gutter/Downpipe Reconnect</v>
      </c>
      <c r="E1449" s="155"/>
      <c r="F1449" s="10"/>
      <c r="G1449" s="17"/>
      <c r="H1449" s="10"/>
      <c r="I1449" s="17"/>
      <c r="J1449" s="82"/>
      <c r="K1449" s="340"/>
      <c r="L1449" s="344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>
      <c r="A1450" s="10" t="s">
        <v>795</v>
      </c>
      <c r="B1450" s="230" t="s">
        <v>837</v>
      </c>
      <c r="C1450" s="14" t="s">
        <v>859</v>
      </c>
      <c r="D1450" s="36" t="str">
        <f t="shared" si="24"/>
        <v>Jamb/Sill Rebuild</v>
      </c>
      <c r="E1450" s="155"/>
      <c r="F1450" s="10"/>
      <c r="G1450" s="17"/>
      <c r="H1450" s="10"/>
      <c r="I1450" s="17"/>
      <c r="J1450" s="82"/>
      <c r="K1450" s="340"/>
      <c r="L1450" s="344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>
      <c r="A1451" s="17" t="s">
        <v>795</v>
      </c>
      <c r="B1451" s="227"/>
      <c r="C1451" s="18"/>
      <c r="D1451" s="18"/>
      <c r="E1451" s="235"/>
      <c r="F1451" s="17"/>
      <c r="G1451" s="17"/>
      <c r="H1451" s="17"/>
      <c r="I1451" s="17"/>
      <c r="J1451" s="83"/>
      <c r="K1451" s="340"/>
      <c r="L1451" s="344"/>
      <c r="M1451" s="89"/>
      <c r="N1451" s="17"/>
      <c r="O1451" s="25"/>
      <c r="P1451" s="91"/>
      <c r="Q1451" s="177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>
      <c r="A1452" s="10" t="s">
        <v>795</v>
      </c>
      <c r="B1452" s="230" t="s">
        <v>837</v>
      </c>
      <c r="C1452" s="14" t="s">
        <v>860</v>
      </c>
      <c r="D1452" s="36" t="str">
        <f>P1452</f>
        <v>New Frame Install</v>
      </c>
      <c r="E1452" s="155"/>
      <c r="F1452" s="10"/>
      <c r="G1452" s="17"/>
      <c r="H1452" s="10"/>
      <c r="I1452" s="17"/>
      <c r="J1452" s="82"/>
      <c r="K1452" s="341">
        <v>0</v>
      </c>
      <c r="L1452" s="344">
        <f>IF(OR(Enginuity!$B$6="",Enginuity!$B$7=""),"",2*(Enginuity!$B$6+Enginuity!$B$7))</f>
        <v>32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>
      <c r="A1453" s="10" t="s">
        <v>795</v>
      </c>
      <c r="B1453" s="230" t="s">
        <v>837</v>
      </c>
      <c r="C1453" s="14" t="s">
        <v>860</v>
      </c>
      <c r="D1453" s="36" t="str">
        <f t="shared" ref="D1453:D1454" si="25">P1453</f>
        <v>Track Re-Level</v>
      </c>
      <c r="E1453" s="155"/>
      <c r="F1453" s="10"/>
      <c r="G1453" s="17"/>
      <c r="H1453" s="10"/>
      <c r="I1453" s="17"/>
      <c r="J1453" s="82"/>
      <c r="K1453" s="340"/>
      <c r="L1453" s="344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>
      <c r="A1454" s="10" t="s">
        <v>795</v>
      </c>
      <c r="B1454" s="230" t="s">
        <v>837</v>
      </c>
      <c r="C1454" s="14" t="s">
        <v>860</v>
      </c>
      <c r="D1454" s="36" t="str">
        <f t="shared" si="25"/>
        <v>Board-Up (Temporary)</v>
      </c>
      <c r="E1454" s="155"/>
      <c r="F1454" s="10"/>
      <c r="G1454" s="17"/>
      <c r="H1454" s="10"/>
      <c r="I1454" s="17"/>
      <c r="J1454" s="82"/>
      <c r="K1454" s="340"/>
      <c r="L1454" s="344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>
      <c r="A1455" s="17" t="s">
        <v>795</v>
      </c>
      <c r="B1455" s="227"/>
      <c r="C1455" s="18"/>
      <c r="D1455" s="18"/>
      <c r="E1455" s="235"/>
      <c r="F1455" s="17"/>
      <c r="G1455" s="17"/>
      <c r="H1455" s="17"/>
      <c r="I1455" s="17"/>
      <c r="J1455" s="83"/>
      <c r="K1455" s="340"/>
      <c r="L1455" s="344"/>
      <c r="M1455" s="89"/>
      <c r="N1455" s="17"/>
      <c r="O1455" s="25"/>
      <c r="P1455" s="91"/>
      <c r="Q1455" s="177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>
      <c r="A1456" s="10" t="s">
        <v>795</v>
      </c>
      <c r="B1456" s="230" t="s">
        <v>837</v>
      </c>
      <c r="C1456" s="14" t="s">
        <v>839</v>
      </c>
      <c r="D1456" s="36" t="str">
        <f>P1456</f>
        <v>Anchor-Hole Patch</v>
      </c>
      <c r="E1456" s="155"/>
      <c r="F1456" s="10"/>
      <c r="G1456" s="17"/>
      <c r="H1456" s="10"/>
      <c r="I1456" s="17"/>
      <c r="J1456" s="82"/>
      <c r="K1456" s="341">
        <v>0</v>
      </c>
      <c r="L1456" s="344">
        <f>IF(OR(Enginuity!$B$6="",Enginuity!$B$7=""),"",2*(Enginuity!$B$6+Enginuity!$B$7))</f>
        <v>32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>
      <c r="A1457" s="10" t="s">
        <v>795</v>
      </c>
      <c r="B1457" s="230" t="s">
        <v>837</v>
      </c>
      <c r="C1457" s="14" t="s">
        <v>839</v>
      </c>
      <c r="D1457" s="36" t="str">
        <f t="shared" ref="D1457:D1459" si="26">P1457</f>
        <v>Welding Patch/Bracket</v>
      </c>
      <c r="E1457" s="155"/>
      <c r="F1457" s="10"/>
      <c r="G1457" s="17"/>
      <c r="H1457" s="10"/>
      <c r="I1457" s="17"/>
      <c r="J1457" s="82"/>
      <c r="K1457" s="340"/>
      <c r="L1457" s="344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>
      <c r="A1458" s="10" t="s">
        <v>795</v>
      </c>
      <c r="B1458" s="230" t="s">
        <v>837</v>
      </c>
      <c r="C1458" s="14" t="s">
        <v>839</v>
      </c>
      <c r="D1458" s="36" t="str">
        <f t="shared" si="26"/>
        <v>Electrical Make-Safe</v>
      </c>
      <c r="E1458" s="155"/>
      <c r="F1458" s="10"/>
      <c r="G1458" s="17"/>
      <c r="H1458" s="10"/>
      <c r="I1458" s="17"/>
      <c r="J1458" s="82"/>
      <c r="K1458" s="340"/>
      <c r="L1458" s="344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>
      <c r="A1459" s="10" t="s">
        <v>795</v>
      </c>
      <c r="B1459" s="230" t="s">
        <v>837</v>
      </c>
      <c r="C1459" s="14" t="s">
        <v>839</v>
      </c>
      <c r="D1459" s="36" t="str">
        <f t="shared" si="26"/>
        <v>Plumbing Cap/Reroute</v>
      </c>
      <c r="E1459" s="155"/>
      <c r="F1459" s="21"/>
      <c r="G1459" s="17"/>
      <c r="H1459" s="10"/>
      <c r="I1459" s="17"/>
      <c r="J1459" s="82"/>
      <c r="K1459" s="341"/>
      <c r="L1459" s="344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>
      <c r="A1460" s="100" t="s">
        <v>795</v>
      </c>
      <c r="B1460" s="229"/>
      <c r="C1460" s="148"/>
      <c r="D1460" s="148"/>
      <c r="E1460" s="165"/>
      <c r="F1460" s="200"/>
      <c r="G1460" s="17"/>
      <c r="H1460" s="100"/>
      <c r="I1460" s="17"/>
      <c r="J1460" s="149"/>
      <c r="K1460" s="340"/>
      <c r="L1460" s="344"/>
      <c r="M1460" s="99"/>
      <c r="N1460" s="100"/>
      <c r="O1460" s="152"/>
      <c r="P1460" s="148"/>
      <c r="Q1460" s="152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>
      <c r="A1461" s="10" t="s">
        <v>795</v>
      </c>
      <c r="B1461" s="226" t="s">
        <v>880</v>
      </c>
      <c r="C1461" s="14" t="s">
        <v>818</v>
      </c>
      <c r="D1461" s="14" t="str">
        <f>P1461</f>
        <v>Perimeter Foam Fill</v>
      </c>
      <c r="E1461" s="155"/>
      <c r="F1461" s="21"/>
      <c r="G1461" s="17"/>
      <c r="H1461" s="10"/>
      <c r="I1461" s="17"/>
      <c r="J1461" s="82"/>
      <c r="K1461" s="341">
        <v>0</v>
      </c>
      <c r="L1461" s="344">
        <f>IF(OR(Enginuity!$B$6="",Enginuity!$B$7=""),"",2*(Enginuity!$B$6+Enginuity!$B$7))</f>
        <v>32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>
      <c r="A1462" s="10" t="s">
        <v>795</v>
      </c>
      <c r="B1462" s="226" t="s">
        <v>880</v>
      </c>
      <c r="C1462" s="14"/>
      <c r="D1462" s="14"/>
      <c r="E1462" s="155"/>
      <c r="F1462" s="14"/>
      <c r="G1462" s="17"/>
      <c r="H1462" s="10"/>
      <c r="I1462" s="17"/>
      <c r="J1462" s="82"/>
      <c r="K1462" s="340"/>
      <c r="L1462" s="344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>
      <c r="A1463" s="10" t="s">
        <v>795</v>
      </c>
      <c r="B1463" s="226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8"/>
      <c r="F1463" s="14"/>
      <c r="G1463" s="17"/>
      <c r="H1463" s="10"/>
      <c r="I1463" s="17"/>
      <c r="J1463" s="82"/>
      <c r="K1463" s="340"/>
      <c r="L1463" s="344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>
      <c r="A1464" s="10" t="s">
        <v>795</v>
      </c>
      <c r="B1464" s="226" t="s">
        <v>880</v>
      </c>
      <c r="C1464" s="14" t="s">
        <v>838</v>
      </c>
      <c r="D1464" s="14" t="str">
        <f t="shared" si="27"/>
        <v>Security Mesh Panel Install (Sash Profile)</v>
      </c>
      <c r="E1464" s="158"/>
      <c r="F1464" s="36"/>
      <c r="G1464" s="17"/>
      <c r="H1464" s="10"/>
      <c r="I1464" s="17"/>
      <c r="J1464" s="82"/>
      <c r="K1464" s="340"/>
      <c r="L1464" s="344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>
      <c r="A1465" s="10" t="s">
        <v>795</v>
      </c>
      <c r="B1465" s="226" t="s">
        <v>880</v>
      </c>
      <c r="C1465" s="14"/>
      <c r="D1465" s="14"/>
      <c r="E1465" s="158"/>
      <c r="F1465" s="14"/>
      <c r="G1465" s="17"/>
      <c r="H1465" s="10"/>
      <c r="I1465" s="17"/>
      <c r="J1465" s="82"/>
      <c r="K1465" s="340"/>
      <c r="L1465" s="344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>
      <c r="A1466" s="10" t="s">
        <v>795</v>
      </c>
      <c r="B1466" s="226" t="s">
        <v>880</v>
      </c>
      <c r="C1466" s="14" t="s">
        <v>859</v>
      </c>
      <c r="D1466" s="14" t="str">
        <f t="shared" si="27"/>
        <v>Weatherstrip / Brush Seal Install</v>
      </c>
      <c r="E1466" s="158"/>
      <c r="F1466" s="14"/>
      <c r="G1466" s="17"/>
      <c r="H1466" s="10"/>
      <c r="I1466" s="17"/>
      <c r="J1466" s="82"/>
      <c r="K1466" s="340"/>
      <c r="L1466" s="344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>
      <c r="A1467" s="10" t="s">
        <v>795</v>
      </c>
      <c r="B1467" s="226" t="s">
        <v>880</v>
      </c>
      <c r="C1467" s="14"/>
      <c r="D1467" s="14"/>
      <c r="E1467" s="244"/>
      <c r="F1467" s="10"/>
      <c r="G1467" s="17"/>
      <c r="H1467" s="10"/>
      <c r="I1467" s="17"/>
      <c r="J1467" s="82"/>
      <c r="K1467" s="340"/>
      <c r="L1467" s="344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>
      <c r="A1468" s="10" t="s">
        <v>795</v>
      </c>
      <c r="B1468" s="226" t="s">
        <v>880</v>
      </c>
      <c r="C1468" s="14" t="s">
        <v>860</v>
      </c>
      <c r="D1468" s="14" t="str">
        <f t="shared" si="27"/>
        <v>Insect Screen Install (Magnetic/Frame)</v>
      </c>
      <c r="E1468" s="155"/>
      <c r="F1468" s="10"/>
      <c r="G1468" s="17"/>
      <c r="H1468" s="10"/>
      <c r="I1468" s="17"/>
      <c r="J1468" s="82"/>
      <c r="K1468" s="340"/>
      <c r="L1468" s="344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>
      <c r="A1469" s="10" t="s">
        <v>795</v>
      </c>
      <c r="B1469" s="226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5"/>
      <c r="F1469" s="10"/>
      <c r="G1469" s="17"/>
      <c r="H1469" s="10"/>
      <c r="I1469" s="17"/>
      <c r="J1469" s="82"/>
      <c r="K1469" s="340"/>
      <c r="L1469" s="344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>
      <c r="A1470" s="10" t="s">
        <v>795</v>
      </c>
      <c r="B1470" s="226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5"/>
      <c r="F1470" s="10"/>
      <c r="G1470" s="17"/>
      <c r="H1470" s="10"/>
      <c r="I1470" s="17"/>
      <c r="J1470" s="82"/>
      <c r="K1470" s="340"/>
      <c r="L1470" s="344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>
      <c r="A1471" s="10" t="s">
        <v>795</v>
      </c>
      <c r="B1471" s="226" t="s">
        <v>880</v>
      </c>
      <c r="C1471" s="14" t="s">
        <v>860</v>
      </c>
      <c r="D1471" s="14" t="str">
        <f t="shared" si="27"/>
        <v>Bi-Fold Door Set Install</v>
      </c>
      <c r="E1471" s="155"/>
      <c r="F1471" s="10"/>
      <c r="G1471" s="17"/>
      <c r="H1471" s="10"/>
      <c r="I1471" s="17"/>
      <c r="J1471" s="82"/>
      <c r="K1471" s="340"/>
      <c r="L1471" s="344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>
      <c r="A1472" s="10" t="s">
        <v>795</v>
      </c>
      <c r="B1472" s="226" t="s">
        <v>880</v>
      </c>
      <c r="C1472" s="14" t="s">
        <v>860</v>
      </c>
      <c r="D1472" s="14" t="str">
        <f t="shared" si="27"/>
        <v>Grille / Burglar Bar Install</v>
      </c>
      <c r="E1472" s="155"/>
      <c r="F1472" s="10"/>
      <c r="G1472" s="17"/>
      <c r="H1472" s="10"/>
      <c r="I1472" s="17"/>
      <c r="J1472" s="82"/>
      <c r="K1472" s="340"/>
      <c r="L1472" s="344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>
      <c r="A1473" s="10" t="s">
        <v>795</v>
      </c>
      <c r="B1473" s="226" t="s">
        <v>880</v>
      </c>
      <c r="C1473" s="14" t="s">
        <v>860</v>
      </c>
      <c r="D1473" s="14" t="str">
        <f t="shared" si="27"/>
        <v>Frameless Glass (U-Channel) Install</v>
      </c>
      <c r="E1473" s="155"/>
      <c r="F1473" s="10"/>
      <c r="G1473" s="17"/>
      <c r="H1473" s="10"/>
      <c r="I1473" s="17"/>
      <c r="J1473" s="82"/>
      <c r="K1473" s="340"/>
      <c r="L1473" s="344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>
      <c r="A1474" s="10" t="s">
        <v>795</v>
      </c>
      <c r="B1474" s="226" t="s">
        <v>880</v>
      </c>
      <c r="C1474" s="14" t="s">
        <v>860</v>
      </c>
      <c r="D1474" s="14" t="str">
        <f t="shared" si="27"/>
        <v>Shower Screen Set Install</v>
      </c>
      <c r="E1474" s="155"/>
      <c r="F1474" s="10"/>
      <c r="G1474" s="17"/>
      <c r="H1474" s="10"/>
      <c r="I1474" s="17"/>
      <c r="J1474" s="82"/>
      <c r="K1474" s="340"/>
      <c r="L1474" s="344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>
      <c r="A1475" s="10" t="s">
        <v>795</v>
      </c>
      <c r="B1475" s="226" t="s">
        <v>880</v>
      </c>
      <c r="C1475" s="14"/>
      <c r="D1475" s="14"/>
      <c r="E1475" s="155"/>
      <c r="F1475" s="10"/>
      <c r="G1475" s="17"/>
      <c r="H1475" s="10"/>
      <c r="I1475" s="17"/>
      <c r="J1475" s="82"/>
      <c r="K1475" s="340"/>
      <c r="L1475" s="344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>
      <c r="A1476" s="10" t="s">
        <v>795</v>
      </c>
      <c r="B1476" s="226" t="s">
        <v>880</v>
      </c>
      <c r="C1476" s="14" t="s">
        <v>839</v>
      </c>
      <c r="D1476" s="14" t="str">
        <f t="shared" si="27"/>
        <v>Restrictor / Safety Stay Install</v>
      </c>
      <c r="E1476" s="155"/>
      <c r="F1476" s="10"/>
      <c r="G1476" s="17"/>
      <c r="H1476" s="10"/>
      <c r="I1476" s="17"/>
      <c r="J1476" s="82"/>
      <c r="K1476" s="340"/>
      <c r="L1476" s="344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>
      <c r="A1477" s="10" t="s">
        <v>795</v>
      </c>
      <c r="B1477" s="226" t="s">
        <v>880</v>
      </c>
      <c r="C1477" s="14" t="s">
        <v>839</v>
      </c>
      <c r="D1477" s="14" t="str">
        <f t="shared" si="27"/>
        <v>Door Hardware Pack Install</v>
      </c>
      <c r="E1477" s="155"/>
      <c r="F1477" s="10"/>
      <c r="G1477" s="17"/>
      <c r="H1477" s="10"/>
      <c r="I1477" s="17"/>
      <c r="J1477" s="82"/>
      <c r="K1477" s="340"/>
      <c r="L1477" s="344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>
      <c r="A1478" s="10" t="s">
        <v>795</v>
      </c>
      <c r="B1478" s="226" t="s">
        <v>880</v>
      </c>
      <c r="C1478" s="14" t="s">
        <v>839</v>
      </c>
      <c r="D1478" s="14" t="str">
        <f t="shared" si="27"/>
        <v>Patch Fittings / Glass Hardware Install</v>
      </c>
      <c r="E1478" s="155"/>
      <c r="F1478" s="10"/>
      <c r="G1478" s="17"/>
      <c r="H1478" s="10"/>
      <c r="I1478" s="17"/>
      <c r="J1478" s="82"/>
      <c r="K1478" s="340"/>
      <c r="L1478" s="344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>
      <c r="A1479" s="10" t="s">
        <v>795</v>
      </c>
      <c r="B1479" s="226" t="s">
        <v>880</v>
      </c>
      <c r="C1479" s="14" t="s">
        <v>839</v>
      </c>
      <c r="D1479" s="14" t="str">
        <f t="shared" si="27"/>
        <v>Door Closer / Floor Spring Install</v>
      </c>
      <c r="E1479" s="155"/>
      <c r="F1479" s="10"/>
      <c r="G1479" s="17"/>
      <c r="H1479" s="10"/>
      <c r="I1479" s="17"/>
      <c r="J1479" s="82"/>
      <c r="K1479" s="340"/>
      <c r="L1479" s="344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>
      <c r="A1480" s="100" t="s">
        <v>795</v>
      </c>
      <c r="B1480" s="229"/>
      <c r="C1480" s="100"/>
      <c r="D1480" s="148"/>
      <c r="E1480" s="165"/>
      <c r="F1480" s="100"/>
      <c r="G1480" s="17"/>
      <c r="H1480" s="100"/>
      <c r="I1480" s="17"/>
      <c r="J1480" s="149"/>
      <c r="K1480" s="340"/>
      <c r="L1480" s="344"/>
      <c r="M1480" s="150"/>
      <c r="N1480" s="100"/>
      <c r="O1480" s="152"/>
      <c r="P1480" s="198"/>
      <c r="Q1480" s="199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>
      <c r="A1481" s="10" t="s">
        <v>795</v>
      </c>
      <c r="B1481" s="232" t="s">
        <v>924</v>
      </c>
      <c r="C1481" s="12" t="s">
        <v>925</v>
      </c>
      <c r="D1481" s="36" t="str">
        <f>P1481</f>
        <v>Roof Turbine Ventilator 12" — (Metal Deck)</v>
      </c>
      <c r="E1481" s="159" t="str">
        <f>P1490</f>
        <v>Tile Roof Flashing / Upstand</v>
      </c>
      <c r="F1481" s="10"/>
      <c r="G1481" s="17"/>
      <c r="H1481" s="10"/>
      <c r="I1481" s="17"/>
      <c r="J1481" s="82"/>
      <c r="K1481" s="341">
        <v>0</v>
      </c>
      <c r="L1481" s="344">
        <f>IF(OR(Enginuity!$B$6="",Enginuity!$B$7=""),"",2*(Enginuity!$B$6+Enginuity!$B$7))</f>
        <v>32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>
      <c r="A1482" s="10" t="s">
        <v>795</v>
      </c>
      <c r="B1482" s="232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59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0"/>
      <c r="L1482" s="344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>
      <c r="A1483" s="10" t="s">
        <v>795</v>
      </c>
      <c r="B1483" s="232" t="s">
        <v>924</v>
      </c>
      <c r="C1483" s="12" t="s">
        <v>925</v>
      </c>
      <c r="D1483" s="36" t="str">
        <f t="shared" si="28"/>
        <v>Roof Turbine Ventilator 16" — (Metal Deck)</v>
      </c>
      <c r="E1483" s="159" t="str">
        <f t="shared" si="29"/>
        <v>Remove &amp; Dispose Existing Ventilator</v>
      </c>
      <c r="F1483" s="10"/>
      <c r="G1483" s="17"/>
      <c r="H1483" s="10"/>
      <c r="I1483" s="17"/>
      <c r="J1483" s="82"/>
      <c r="K1483" s="340"/>
      <c r="L1483" s="344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>
      <c r="A1484" s="10" t="s">
        <v>795</v>
      </c>
      <c r="B1484" s="232" t="s">
        <v>924</v>
      </c>
      <c r="C1484" s="12" t="s">
        <v>925</v>
      </c>
      <c r="D1484" s="36" t="str">
        <f t="shared" si="28"/>
        <v>Roof Turbine Ventilator 18" — (Metal Deck)</v>
      </c>
      <c r="E1484" s="159" t="str">
        <f t="shared" si="29"/>
        <v>Core Drill RC Slab / Concrete</v>
      </c>
      <c r="F1484" s="10"/>
      <c r="G1484" s="17"/>
      <c r="H1484" s="10"/>
      <c r="I1484" s="17"/>
      <c r="J1484" s="82"/>
      <c r="K1484" s="340"/>
      <c r="L1484" s="344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>
      <c r="A1485" s="10" t="s">
        <v>795</v>
      </c>
      <c r="B1485" s="232" t="s">
        <v>924</v>
      </c>
      <c r="C1485" s="12" t="s">
        <v>925</v>
      </c>
      <c r="D1485" s="36" t="str">
        <f t="shared" si="28"/>
        <v>Roof Turbine Ventilator 20" — (Metal Deck)</v>
      </c>
      <c r="E1485" s="155"/>
      <c r="F1485" s="10"/>
      <c r="G1485" s="17"/>
      <c r="H1485" s="10"/>
      <c r="I1485" s="17"/>
      <c r="J1485" s="82"/>
      <c r="K1485" s="340"/>
      <c r="L1485" s="344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>
      <c r="A1486" s="10" t="s">
        <v>795</v>
      </c>
      <c r="B1486" s="232" t="s">
        <v>924</v>
      </c>
      <c r="C1486" s="12" t="s">
        <v>925</v>
      </c>
      <c r="D1486" s="36" t="str">
        <f t="shared" si="28"/>
        <v>Roof Turbine Ventilator 24" — (Metal Deck)</v>
      </c>
      <c r="E1486" s="155"/>
      <c r="F1486" s="10"/>
      <c r="G1486" s="17"/>
      <c r="H1486" s="10"/>
      <c r="I1486" s="17"/>
      <c r="J1486" s="82"/>
      <c r="K1486" s="340"/>
      <c r="L1486" s="344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>
      <c r="A1487" s="10" t="s">
        <v>795</v>
      </c>
      <c r="B1487" s="232" t="s">
        <v>924</v>
      </c>
      <c r="C1487" s="12" t="s">
        <v>925</v>
      </c>
      <c r="D1487" s="36"/>
      <c r="E1487" s="155"/>
      <c r="F1487" s="10"/>
      <c r="G1487" s="17"/>
      <c r="H1487" s="10"/>
      <c r="I1487" s="17"/>
      <c r="J1487" s="82"/>
      <c r="K1487" s="340"/>
      <c r="L1487" s="344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>
      <c r="A1488" s="10" t="s">
        <v>795</v>
      </c>
      <c r="B1488" s="232" t="s">
        <v>924</v>
      </c>
      <c r="C1488" s="12" t="s">
        <v>925</v>
      </c>
      <c r="D1488" s="36"/>
      <c r="E1488" s="155"/>
      <c r="F1488" s="10"/>
      <c r="G1488" s="17"/>
      <c r="H1488" s="10"/>
      <c r="I1488" s="17"/>
      <c r="J1488" s="82"/>
      <c r="K1488" s="340"/>
      <c r="L1488" s="344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>
      <c r="A1489" s="10" t="s">
        <v>795</v>
      </c>
      <c r="B1489" s="232" t="s">
        <v>924</v>
      </c>
      <c r="C1489" s="12" t="s">
        <v>925</v>
      </c>
      <c r="D1489" s="36"/>
      <c r="E1489" s="155"/>
      <c r="F1489" s="10"/>
      <c r="G1489" s="17"/>
      <c r="H1489" s="10"/>
      <c r="I1489" s="17"/>
      <c r="J1489" s="82"/>
      <c r="K1489" s="340"/>
      <c r="L1489" s="344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>
      <c r="A1490" s="10" t="s">
        <v>795</v>
      </c>
      <c r="B1490" s="232" t="s">
        <v>924</v>
      </c>
      <c r="C1490" s="12" t="s">
        <v>925</v>
      </c>
      <c r="D1490" s="14"/>
      <c r="E1490" s="155"/>
      <c r="F1490" s="10"/>
      <c r="G1490" s="17"/>
      <c r="H1490" s="10"/>
      <c r="I1490" s="17"/>
      <c r="J1490" s="82"/>
      <c r="K1490" s="340"/>
      <c r="L1490" s="344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>
      <c r="A1491" s="10" t="s">
        <v>795</v>
      </c>
      <c r="B1491" s="232" t="s">
        <v>924</v>
      </c>
      <c r="C1491" s="12" t="s">
        <v>925</v>
      </c>
      <c r="D1491" s="14"/>
      <c r="E1491" s="155"/>
      <c r="F1491" s="10"/>
      <c r="G1491" s="17"/>
      <c r="H1491" s="10"/>
      <c r="I1491" s="17"/>
      <c r="J1491" s="82"/>
      <c r="K1491" s="340"/>
      <c r="L1491" s="344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>
      <c r="A1492" s="10" t="s">
        <v>795</v>
      </c>
      <c r="B1492" s="232" t="s">
        <v>924</v>
      </c>
      <c r="C1492" s="12" t="s">
        <v>925</v>
      </c>
      <c r="D1492" s="14"/>
      <c r="E1492" s="155"/>
      <c r="F1492" s="10"/>
      <c r="G1492" s="17"/>
      <c r="H1492" s="10"/>
      <c r="I1492" s="17"/>
      <c r="J1492" s="82"/>
      <c r="K1492" s="340"/>
      <c r="L1492" s="344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>
      <c r="A1493" s="10" t="s">
        <v>795</v>
      </c>
      <c r="B1493" s="232" t="s">
        <v>924</v>
      </c>
      <c r="C1493" s="12" t="s">
        <v>925</v>
      </c>
      <c r="D1493" s="14"/>
      <c r="E1493" s="155"/>
      <c r="F1493" s="10"/>
      <c r="G1493" s="17"/>
      <c r="H1493" s="10"/>
      <c r="I1493" s="17"/>
      <c r="J1493" s="82"/>
      <c r="K1493" s="340"/>
      <c r="L1493" s="344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>
      <c r="A1494" s="10" t="s">
        <v>795</v>
      </c>
      <c r="B1494" s="232" t="s">
        <v>924</v>
      </c>
      <c r="C1494" s="12" t="s">
        <v>925</v>
      </c>
      <c r="D1494" s="14"/>
      <c r="E1494" s="155"/>
      <c r="F1494" s="10"/>
      <c r="G1494" s="17"/>
      <c r="H1494" s="10"/>
      <c r="I1494" s="17"/>
      <c r="J1494" s="82"/>
      <c r="K1494" s="340"/>
      <c r="L1494" s="344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>
      <c r="A1495" s="10"/>
      <c r="B1495" s="232"/>
      <c r="C1495" s="12"/>
      <c r="D1495" s="14"/>
      <c r="E1495" s="155"/>
      <c r="F1495" s="10"/>
      <c r="G1495" s="17"/>
      <c r="H1495" s="10"/>
      <c r="I1495" s="17"/>
      <c r="J1495" s="82"/>
      <c r="K1495" s="340"/>
      <c r="L1495" s="344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>
      <c r="A1496" s="10"/>
      <c r="B1496" s="232"/>
      <c r="C1496" s="12"/>
      <c r="D1496" s="14"/>
      <c r="E1496" s="155"/>
      <c r="F1496" s="10"/>
      <c r="G1496" s="17"/>
      <c r="H1496" s="10"/>
      <c r="I1496" s="17"/>
      <c r="J1496" s="82"/>
      <c r="K1496" s="340"/>
      <c r="L1496" s="344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>
      <c r="A1497" s="100"/>
      <c r="B1497" s="233"/>
      <c r="C1497" s="99"/>
      <c r="D1497" s="148"/>
      <c r="E1497" s="165"/>
      <c r="F1497" s="100"/>
      <c r="G1497" s="17"/>
      <c r="H1497" s="100"/>
      <c r="I1497" s="17"/>
      <c r="J1497" s="149"/>
      <c r="K1497" s="340"/>
      <c r="L1497" s="344"/>
      <c r="M1497" s="150"/>
      <c r="N1497" s="100"/>
      <c r="O1497" s="152"/>
      <c r="P1497" s="198"/>
      <c r="Q1497" s="199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>
      <c r="A1498" s="10" t="s">
        <v>795</v>
      </c>
      <c r="B1498" s="232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39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1">
        <v>0</v>
      </c>
      <c r="L1498" s="344">
        <f>IF(OR(Enginuity!$B$6="",Enginuity!$B$7=""),"",2*(Enginuity!$B$6+Enginuity!$B$7))</f>
        <v>32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>
      <c r="A1499" s="10" t="s">
        <v>795</v>
      </c>
      <c r="B1499" s="232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39" t="str">
        <f>P1499</f>
        <v>Smart Glass</v>
      </c>
      <c r="F1499" s="14"/>
      <c r="G1499" s="38"/>
      <c r="H1499" s="10"/>
      <c r="I1499" s="17"/>
      <c r="J1499" s="82"/>
      <c r="K1499" s="340"/>
      <c r="L1499" s="344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>
      <c r="A1500" s="10" t="s">
        <v>795</v>
      </c>
      <c r="B1500" s="232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39"/>
      <c r="F1500" s="14"/>
      <c r="G1500" s="38"/>
      <c r="H1500" s="10"/>
      <c r="I1500" s="17"/>
      <c r="J1500" s="82"/>
      <c r="K1500" s="340"/>
      <c r="L1500" s="344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>
      <c r="A1501" s="10" t="s">
        <v>795</v>
      </c>
      <c r="B1501" s="232" t="s">
        <v>940</v>
      </c>
      <c r="C1501" s="106" t="str">
        <f t="shared" si="30"/>
        <v>Transportation – Kuantan</v>
      </c>
      <c r="D1501" s="106"/>
      <c r="E1501" s="239"/>
      <c r="F1501" s="14"/>
      <c r="G1501" s="18"/>
      <c r="H1501" s="10"/>
      <c r="I1501" s="17"/>
      <c r="J1501" s="82"/>
      <c r="K1501" s="340"/>
      <c r="L1501" s="344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>
      <c r="A1502" s="10" t="s">
        <v>795</v>
      </c>
      <c r="B1502" s="232" t="s">
        <v>940</v>
      </c>
      <c r="C1502" s="106" t="str">
        <f t="shared" si="30"/>
        <v>Transportation – Penang/Johor Bahru</v>
      </c>
      <c r="D1502" s="106"/>
      <c r="E1502" s="239"/>
      <c r="F1502" s="21"/>
      <c r="G1502" s="18"/>
      <c r="H1502" s="10"/>
      <c r="I1502" s="17"/>
      <c r="J1502" s="82"/>
      <c r="K1502" s="340"/>
      <c r="L1502" s="344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>
      <c r="A1503" s="10" t="s">
        <v>795</v>
      </c>
      <c r="B1503" s="232" t="s">
        <v>940</v>
      </c>
      <c r="C1503" s="106" t="str">
        <f t="shared" si="30"/>
        <v>Transportation – Kedah/Kuala Terengganu</v>
      </c>
      <c r="D1503" s="14"/>
      <c r="E1503" s="239"/>
      <c r="F1503" s="21"/>
      <c r="G1503" s="91"/>
      <c r="H1503" s="10"/>
      <c r="I1503" s="17"/>
      <c r="J1503" s="82"/>
      <c r="K1503" s="340"/>
      <c r="L1503" s="344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>
      <c r="A1504" s="10" t="s">
        <v>795</v>
      </c>
      <c r="B1504" s="232" t="s">
        <v>940</v>
      </c>
      <c r="C1504" s="106" t="str">
        <f t="shared" si="30"/>
        <v>Transportation – Perlis</v>
      </c>
      <c r="D1504" s="14"/>
      <c r="E1504" s="239"/>
      <c r="F1504" s="21"/>
      <c r="G1504" s="18"/>
      <c r="H1504" s="10"/>
      <c r="I1504" s="17"/>
      <c r="J1504" s="82"/>
      <c r="K1504" s="340"/>
      <c r="L1504" s="344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>
      <c r="A1505" s="10" t="s">
        <v>795</v>
      </c>
      <c r="B1505" s="232" t="s">
        <v>940</v>
      </c>
      <c r="C1505" s="106" t="str">
        <f t="shared" si="30"/>
        <v>Transportation – Kelantan</v>
      </c>
      <c r="D1505" s="14"/>
      <c r="E1505" s="239"/>
      <c r="F1505" s="10"/>
      <c r="G1505" s="18"/>
      <c r="H1505" s="10"/>
      <c r="I1505" s="17"/>
      <c r="J1505" s="82"/>
      <c r="K1505" s="340"/>
      <c r="L1505" s="344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>
      <c r="A1506" s="10" t="s">
        <v>795</v>
      </c>
      <c r="B1506" s="232" t="s">
        <v>940</v>
      </c>
      <c r="C1506" s="106" t="str">
        <f t="shared" si="30"/>
        <v>Transportation – Sabah/Sarawak</v>
      </c>
      <c r="D1506" s="14"/>
      <c r="E1506" s="239"/>
      <c r="F1506" s="14"/>
      <c r="G1506" s="17"/>
      <c r="H1506" s="10"/>
      <c r="I1506" s="17"/>
      <c r="J1506" s="82"/>
      <c r="K1506" s="340"/>
      <c r="L1506" s="344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>
      <c r="A1507" s="10" t="s">
        <v>795</v>
      </c>
      <c r="B1507" s="232" t="s">
        <v>940</v>
      </c>
      <c r="C1507" s="14"/>
      <c r="D1507" s="106"/>
      <c r="E1507" s="155"/>
      <c r="F1507" s="10"/>
      <c r="G1507" s="17"/>
      <c r="H1507" s="10"/>
      <c r="I1507" s="17"/>
      <c r="J1507" s="82"/>
      <c r="K1507" s="340"/>
      <c r="L1507" s="344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>
      <c r="A1508" s="10" t="s">
        <v>795</v>
      </c>
      <c r="B1508" s="232" t="s">
        <v>940</v>
      </c>
      <c r="C1508" s="14"/>
      <c r="D1508" s="106"/>
      <c r="E1508" s="155"/>
      <c r="F1508" s="10"/>
      <c r="G1508" s="17"/>
      <c r="H1508" s="10"/>
      <c r="I1508" s="17"/>
      <c r="J1508" s="82"/>
      <c r="K1508" s="340"/>
      <c r="L1508" s="344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>
      <c r="A1509" s="10" t="s">
        <v>795</v>
      </c>
      <c r="B1509" s="232" t="s">
        <v>940</v>
      </c>
      <c r="C1509" s="14"/>
      <c r="D1509" s="106"/>
      <c r="E1509" s="155"/>
      <c r="F1509" s="10"/>
      <c r="G1509" s="17"/>
      <c r="H1509" s="10"/>
      <c r="I1509" s="17"/>
      <c r="J1509" s="82"/>
      <c r="K1509" s="340"/>
      <c r="L1509" s="344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>
      <c r="A1510" s="10" t="s">
        <v>795</v>
      </c>
      <c r="B1510" s="232" t="s">
        <v>940</v>
      </c>
      <c r="C1510" s="14"/>
      <c r="D1510" s="106"/>
      <c r="E1510" s="155"/>
      <c r="F1510" s="10"/>
      <c r="G1510" s="17"/>
      <c r="H1510" s="10"/>
      <c r="I1510" s="17"/>
      <c r="J1510" s="82"/>
      <c r="K1510" s="340"/>
      <c r="L1510" s="344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>
      <c r="A1511" s="10" t="s">
        <v>795</v>
      </c>
      <c r="B1511" s="232" t="s">
        <v>940</v>
      </c>
      <c r="C1511" s="14"/>
      <c r="D1511" s="106"/>
      <c r="E1511" s="155"/>
      <c r="F1511" s="10"/>
      <c r="G1511" s="17"/>
      <c r="H1511" s="10"/>
      <c r="I1511" s="17"/>
      <c r="J1511" s="82"/>
      <c r="K1511" s="340"/>
      <c r="L1511" s="344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>
      <c r="A1512" s="10" t="s">
        <v>795</v>
      </c>
      <c r="B1512" s="232" t="s">
        <v>940</v>
      </c>
      <c r="C1512" s="14"/>
      <c r="D1512" s="106"/>
      <c r="E1512" s="157"/>
      <c r="F1512" s="10"/>
      <c r="G1512" s="17"/>
      <c r="H1512" s="10"/>
      <c r="I1512" s="17"/>
      <c r="J1512" s="82"/>
      <c r="K1512" s="340"/>
      <c r="L1512" s="344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>
      <c r="A1513" s="10" t="s">
        <v>795</v>
      </c>
      <c r="B1513" s="232" t="s">
        <v>940</v>
      </c>
      <c r="C1513" s="14"/>
      <c r="D1513" s="106"/>
      <c r="E1513" s="155"/>
      <c r="F1513" s="10"/>
      <c r="G1513" s="17"/>
      <c r="H1513" s="10"/>
      <c r="I1513" s="17"/>
      <c r="J1513" s="82"/>
      <c r="K1513" s="340"/>
      <c r="L1513" s="344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>
      <c r="A1514" s="10" t="s">
        <v>795</v>
      </c>
      <c r="B1514" s="232" t="s">
        <v>940</v>
      </c>
      <c r="C1514" s="14"/>
      <c r="D1514" s="14"/>
      <c r="E1514" s="155"/>
      <c r="F1514" s="10"/>
      <c r="G1514" s="17"/>
      <c r="H1514" s="10"/>
      <c r="I1514" s="17"/>
      <c r="J1514" s="82"/>
      <c r="K1514" s="340"/>
      <c r="L1514" s="344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>
      <c r="A1515" s="10" t="s">
        <v>795</v>
      </c>
      <c r="B1515" s="232" t="s">
        <v>940</v>
      </c>
      <c r="C1515" s="14"/>
      <c r="D1515" s="14"/>
      <c r="E1515" s="155"/>
      <c r="F1515" s="10"/>
      <c r="G1515" s="17"/>
      <c r="H1515" s="10"/>
      <c r="I1515" s="17"/>
      <c r="J1515" s="82"/>
      <c r="K1515" s="340"/>
      <c r="L1515" s="344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>
      <c r="A1516" s="10" t="s">
        <v>795</v>
      </c>
      <c r="B1516" s="232" t="s">
        <v>940</v>
      </c>
      <c r="C1516" s="14"/>
      <c r="D1516" s="14"/>
      <c r="E1516" s="155"/>
      <c r="F1516" s="10"/>
      <c r="G1516" s="17"/>
      <c r="H1516" s="10"/>
      <c r="I1516" s="17"/>
      <c r="J1516" s="82"/>
      <c r="K1516" s="340"/>
      <c r="L1516" s="344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>
      <c r="A1517" s="10" t="s">
        <v>795</v>
      </c>
      <c r="B1517" s="232" t="s">
        <v>940</v>
      </c>
      <c r="C1517" s="14"/>
      <c r="D1517" s="14"/>
      <c r="E1517" s="155"/>
      <c r="F1517" s="10"/>
      <c r="G1517" s="17"/>
      <c r="H1517" s="10"/>
      <c r="I1517" s="17"/>
      <c r="J1517" s="82"/>
      <c r="K1517" s="340"/>
      <c r="L1517" s="344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>
      <c r="A1518" s="10" t="s">
        <v>795</v>
      </c>
      <c r="B1518" s="232" t="s">
        <v>940</v>
      </c>
      <c r="C1518" s="10"/>
      <c r="D1518" s="14"/>
      <c r="E1518" s="155"/>
      <c r="F1518" s="10"/>
      <c r="G1518" s="17"/>
      <c r="H1518" s="10"/>
      <c r="I1518" s="17"/>
      <c r="J1518" s="82"/>
      <c r="K1518" s="340"/>
      <c r="L1518" s="344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>
      <c r="A1519" s="10" t="s">
        <v>795</v>
      </c>
      <c r="B1519" s="232" t="s">
        <v>940</v>
      </c>
      <c r="C1519" s="10"/>
      <c r="D1519" s="14"/>
      <c r="E1519" s="155"/>
      <c r="F1519" s="10"/>
      <c r="G1519" s="17"/>
      <c r="H1519" s="10"/>
      <c r="I1519" s="17"/>
      <c r="J1519" s="82"/>
      <c r="K1519" s="340"/>
      <c r="L1519" s="344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>
      <c r="A1520" s="10" t="s">
        <v>795</v>
      </c>
      <c r="B1520" s="232" t="s">
        <v>940</v>
      </c>
      <c r="C1520" s="10"/>
      <c r="D1520" s="14"/>
      <c r="E1520" s="155"/>
      <c r="F1520" s="10"/>
      <c r="G1520" s="17"/>
      <c r="H1520" s="10"/>
      <c r="I1520" s="17"/>
      <c r="J1520" s="82"/>
      <c r="K1520" s="340"/>
      <c r="L1520" s="344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>
      <c r="A1521" s="10" t="s">
        <v>795</v>
      </c>
      <c r="B1521" s="232" t="s">
        <v>940</v>
      </c>
      <c r="C1521" s="10"/>
      <c r="D1521" s="14"/>
      <c r="E1521" s="155"/>
      <c r="F1521" s="10"/>
      <c r="G1521" s="17"/>
      <c r="H1521" s="10"/>
      <c r="I1521" s="17"/>
      <c r="J1521" s="82"/>
      <c r="K1521" s="340"/>
      <c r="L1521" s="344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>
      <c r="A1522" s="10" t="s">
        <v>795</v>
      </c>
      <c r="B1522" s="232" t="s">
        <v>940</v>
      </c>
      <c r="C1522" s="10"/>
      <c r="D1522" s="14"/>
      <c r="E1522" s="155"/>
      <c r="F1522" s="10"/>
      <c r="G1522" s="17"/>
      <c r="H1522" s="10"/>
      <c r="I1522" s="17"/>
      <c r="J1522" s="82"/>
      <c r="K1522" s="340"/>
      <c r="L1522" s="344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>
      <c r="A1523" s="10" t="s">
        <v>795</v>
      </c>
      <c r="B1523" s="232" t="s">
        <v>940</v>
      </c>
      <c r="C1523" s="10"/>
      <c r="D1523" s="14"/>
      <c r="E1523" s="155"/>
      <c r="F1523" s="10"/>
      <c r="G1523" s="17"/>
      <c r="H1523" s="10"/>
      <c r="I1523" s="17"/>
      <c r="J1523" s="82"/>
      <c r="K1523" s="340"/>
      <c r="L1523" s="344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>
      <c r="A1524" s="10" t="s">
        <v>795</v>
      </c>
      <c r="B1524" s="232" t="s">
        <v>940</v>
      </c>
      <c r="C1524" s="10"/>
      <c r="D1524" s="14"/>
      <c r="E1524" s="155"/>
      <c r="F1524" s="10"/>
      <c r="G1524" s="17"/>
      <c r="H1524" s="10"/>
      <c r="I1524" s="17"/>
      <c r="J1524" s="82"/>
      <c r="K1524" s="340"/>
      <c r="L1524" s="344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>
      <c r="A1525" s="10" t="s">
        <v>795</v>
      </c>
      <c r="B1525" s="226"/>
      <c r="C1525" s="10"/>
      <c r="D1525" s="14"/>
      <c r="E1525" s="155"/>
      <c r="F1525" s="10"/>
      <c r="G1525" s="17"/>
      <c r="H1525" s="10"/>
      <c r="I1525" s="17"/>
      <c r="J1525" s="82"/>
      <c r="K1525" s="340"/>
      <c r="L1525" s="344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>
      <c r="A1526" s="10" t="s">
        <v>795</v>
      </c>
      <c r="B1526" s="226"/>
      <c r="C1526" s="10"/>
      <c r="D1526" s="14"/>
      <c r="E1526" s="155"/>
      <c r="F1526" s="10"/>
      <c r="G1526" s="17"/>
      <c r="H1526" s="10"/>
      <c r="I1526" s="17"/>
      <c r="J1526" s="82"/>
      <c r="K1526" s="340"/>
      <c r="L1526" s="344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>
      <c r="A1527" s="10" t="s">
        <v>795</v>
      </c>
      <c r="B1527" s="226"/>
      <c r="C1527" s="10"/>
      <c r="D1527" s="14"/>
      <c r="E1527" s="155"/>
      <c r="F1527" s="10"/>
      <c r="G1527" s="17"/>
      <c r="H1527" s="10"/>
      <c r="I1527" s="17"/>
      <c r="J1527" s="82"/>
      <c r="K1527" s="340"/>
      <c r="L1527" s="344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>
      <c r="A1528" s="10" t="s">
        <v>795</v>
      </c>
      <c r="B1528" s="226"/>
      <c r="C1528" s="10"/>
      <c r="D1528" s="14"/>
      <c r="E1528" s="155"/>
      <c r="F1528" s="10"/>
      <c r="G1528" s="17"/>
      <c r="H1528" s="10"/>
      <c r="I1528" s="17"/>
      <c r="J1528" s="82"/>
      <c r="K1528" s="340"/>
      <c r="L1528" s="344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>
      <c r="A1529" s="10" t="s">
        <v>795</v>
      </c>
      <c r="B1529" s="226"/>
      <c r="C1529" s="10"/>
      <c r="D1529" s="14"/>
      <c r="E1529" s="155"/>
      <c r="F1529" s="10"/>
      <c r="G1529" s="17"/>
      <c r="H1529" s="10"/>
      <c r="I1529" s="17"/>
      <c r="J1529" s="82"/>
      <c r="K1529" s="340"/>
      <c r="L1529" s="344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>
      <c r="A1530" s="10" t="s">
        <v>795</v>
      </c>
      <c r="B1530" s="226"/>
      <c r="C1530" s="10"/>
      <c r="D1530" s="14"/>
      <c r="E1530" s="155"/>
      <c r="F1530" s="10"/>
      <c r="G1530" s="17"/>
      <c r="H1530" s="10"/>
      <c r="I1530" s="17"/>
      <c r="J1530" s="82"/>
      <c r="K1530" s="340"/>
      <c r="L1530" s="344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>
      <c r="A1531" s="10" t="s">
        <v>795</v>
      </c>
      <c r="B1531" s="226"/>
      <c r="C1531" s="10"/>
      <c r="D1531" s="14"/>
      <c r="E1531" s="155"/>
      <c r="F1531" s="10"/>
      <c r="G1531" s="17"/>
      <c r="H1531" s="10"/>
      <c r="I1531" s="17"/>
      <c r="J1531" s="82"/>
      <c r="K1531" s="340"/>
      <c r="L1531" s="344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>
      <c r="A1532" s="10" t="s">
        <v>795</v>
      </c>
      <c r="B1532" s="226"/>
      <c r="C1532" s="10"/>
      <c r="D1532" s="14"/>
      <c r="E1532" s="155"/>
      <c r="F1532" s="10"/>
      <c r="G1532" s="17"/>
      <c r="H1532" s="10"/>
      <c r="I1532" s="17"/>
      <c r="J1532" s="82"/>
      <c r="K1532" s="340"/>
      <c r="L1532" s="344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>
      <c r="A1533" s="10" t="s">
        <v>795</v>
      </c>
      <c r="B1533" s="226"/>
      <c r="C1533" s="10"/>
      <c r="D1533" s="14"/>
      <c r="E1533" s="155"/>
      <c r="F1533" s="10"/>
      <c r="G1533" s="17"/>
      <c r="H1533" s="10"/>
      <c r="I1533" s="17"/>
      <c r="J1533" s="82"/>
      <c r="K1533" s="340"/>
      <c r="L1533" s="344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>
      <c r="A1534" s="10" t="s">
        <v>795</v>
      </c>
      <c r="B1534" s="226"/>
      <c r="C1534" s="10"/>
      <c r="D1534" s="14"/>
      <c r="E1534" s="155"/>
      <c r="F1534" s="10"/>
      <c r="G1534" s="17"/>
      <c r="H1534" s="10"/>
      <c r="I1534" s="17"/>
      <c r="J1534" s="82"/>
      <c r="K1534" s="340"/>
      <c r="L1534" s="344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>
      <c r="A1535" s="10" t="s">
        <v>795</v>
      </c>
      <c r="B1535" s="226"/>
      <c r="C1535" s="10"/>
      <c r="D1535" s="14"/>
      <c r="E1535" s="155"/>
      <c r="F1535" s="10"/>
      <c r="G1535" s="17"/>
      <c r="H1535" s="10"/>
      <c r="I1535" s="17"/>
      <c r="J1535" s="82"/>
      <c r="K1535" s="340"/>
      <c r="L1535" s="344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>
      <c r="A1536" s="17" t="s">
        <v>768</v>
      </c>
      <c r="B1536" s="227"/>
      <c r="C1536" s="17"/>
      <c r="D1536" s="18"/>
      <c r="E1536" s="235"/>
      <c r="F1536" s="17"/>
      <c r="G1536" s="17"/>
      <c r="H1536" s="17"/>
      <c r="I1536" s="17"/>
      <c r="J1536" s="83"/>
      <c r="K1536" s="340"/>
      <c r="L1536" s="344"/>
      <c r="M1536" s="89"/>
      <c r="N1536" s="17"/>
      <c r="O1536" s="25"/>
      <c r="P1536" s="91"/>
      <c r="Q1536" s="177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>
      <c r="A1537" s="10" t="s">
        <v>768</v>
      </c>
      <c r="B1537" s="226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5" t="s">
        <v>257</v>
      </c>
      <c r="F1537" s="21"/>
      <c r="G1537" s="17"/>
      <c r="H1537" s="10"/>
      <c r="I1537" s="17"/>
      <c r="J1537" s="82"/>
      <c r="K1537" s="341">
        <v>0.5</v>
      </c>
      <c r="L1537" s="344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>
      <c r="A1538" s="10" t="s">
        <v>768</v>
      </c>
      <c r="B1538" s="226" t="s">
        <v>769</v>
      </c>
      <c r="C1538" s="14" t="s">
        <v>771</v>
      </c>
      <c r="D1538" s="14" t="str">
        <v>Black Aluminium Mesh 1.6mm</v>
      </c>
      <c r="E1538" s="155" t="s">
        <v>269</v>
      </c>
      <c r="F1538" s="21"/>
      <c r="G1538" s="17"/>
      <c r="H1538" s="10"/>
      <c r="I1538" s="17"/>
      <c r="J1538" s="82"/>
      <c r="K1538" s="340"/>
      <c r="L1538" s="344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>
      <c r="A1539" s="10" t="s">
        <v>768</v>
      </c>
      <c r="B1539" s="226" t="s">
        <v>769</v>
      </c>
      <c r="C1539" s="14" t="s">
        <v>772</v>
      </c>
      <c r="D1539" s="14" t="str">
        <v>Black Aluminium Mesh 1.8mm</v>
      </c>
      <c r="E1539" s="155"/>
      <c r="F1539" s="21"/>
      <c r="G1539" s="17"/>
      <c r="H1539" s="10"/>
      <c r="I1539" s="17"/>
      <c r="J1539" s="82"/>
      <c r="K1539" s="340"/>
      <c r="L1539" s="344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>
      <c r="A1540" s="10" t="s">
        <v>768</v>
      </c>
      <c r="B1540" s="226" t="s">
        <v>769</v>
      </c>
      <c r="C1540" s="14" t="s">
        <v>773</v>
      </c>
      <c r="D1540" s="14" t="str">
        <v>Black Stainless Steel Mesh 1.0mm</v>
      </c>
      <c r="E1540" s="155"/>
      <c r="F1540" s="14"/>
      <c r="G1540" s="17"/>
      <c r="H1540" s="10"/>
      <c r="I1540" s="17"/>
      <c r="J1540" s="82"/>
      <c r="K1540" s="340"/>
      <c r="L1540" s="344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>
      <c r="A1541" s="10" t="s">
        <v>768</v>
      </c>
      <c r="B1541" s="226" t="s">
        <v>769</v>
      </c>
      <c r="C1541" s="14" t="s">
        <v>774</v>
      </c>
      <c r="D1541" s="14" t="str">
        <v/>
      </c>
      <c r="E1541" s="158"/>
      <c r="F1541" s="14"/>
      <c r="G1541" s="17"/>
      <c r="H1541" s="10"/>
      <c r="I1541" s="17"/>
      <c r="J1541" s="82"/>
      <c r="K1541" s="340"/>
      <c r="L1541" s="344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>
      <c r="A1542" s="10" t="s">
        <v>768</v>
      </c>
      <c r="B1542" s="226" t="s">
        <v>769</v>
      </c>
      <c r="C1542" s="14" t="s">
        <v>775</v>
      </c>
      <c r="D1542" s="14"/>
      <c r="E1542" s="158"/>
      <c r="F1542" s="36"/>
      <c r="G1542" s="17"/>
      <c r="H1542" s="10"/>
      <c r="I1542" s="17"/>
      <c r="J1542" s="82"/>
      <c r="K1542" s="340"/>
      <c r="L1542" s="344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>
      <c r="A1543" s="10" t="s">
        <v>768</v>
      </c>
      <c r="B1543" s="226" t="s">
        <v>769</v>
      </c>
      <c r="C1543" s="14" t="s">
        <v>776</v>
      </c>
      <c r="D1543" s="14"/>
      <c r="E1543" s="158"/>
      <c r="F1543" s="14"/>
      <c r="G1543" s="17"/>
      <c r="H1543" s="10"/>
      <c r="I1543" s="17"/>
      <c r="J1543" s="82"/>
      <c r="K1543" s="340"/>
      <c r="L1543" s="344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>
      <c r="A1544" s="10" t="s">
        <v>768</v>
      </c>
      <c r="B1544" s="226" t="s">
        <v>769</v>
      </c>
      <c r="C1544" s="14" t="s">
        <v>777</v>
      </c>
      <c r="D1544" s="14"/>
      <c r="E1544" s="158"/>
      <c r="F1544" s="14"/>
      <c r="G1544" s="17"/>
      <c r="H1544" s="10"/>
      <c r="I1544" s="17"/>
      <c r="J1544" s="82"/>
      <c r="K1544" s="340"/>
      <c r="L1544" s="344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>
      <c r="A1545" s="10" t="s">
        <v>768</v>
      </c>
      <c r="B1545" s="226" t="s">
        <v>769</v>
      </c>
      <c r="C1545" s="14" t="s">
        <v>778</v>
      </c>
      <c r="D1545" s="14"/>
      <c r="E1545" s="244"/>
      <c r="F1545" s="10"/>
      <c r="G1545" s="17"/>
      <c r="H1545" s="10"/>
      <c r="I1545" s="17"/>
      <c r="J1545" s="82"/>
      <c r="K1545" s="340"/>
      <c r="L1545" s="344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>
      <c r="A1546" s="10" t="s">
        <v>768</v>
      </c>
      <c r="B1546" s="226" t="s">
        <v>769</v>
      </c>
      <c r="C1546" s="14" t="s">
        <v>779</v>
      </c>
      <c r="D1546" s="14"/>
      <c r="E1546" s="155"/>
      <c r="F1546" s="10"/>
      <c r="G1546" s="17"/>
      <c r="H1546" s="10"/>
      <c r="I1546" s="17"/>
      <c r="J1546" s="82"/>
      <c r="K1546" s="340"/>
      <c r="L1546" s="344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>
      <c r="A1547" s="10" t="s">
        <v>768</v>
      </c>
      <c r="B1547" s="226" t="s">
        <v>769</v>
      </c>
      <c r="C1547" s="14" t="s">
        <v>780</v>
      </c>
      <c r="D1547" s="14"/>
      <c r="E1547" s="155"/>
      <c r="F1547" s="10"/>
      <c r="G1547" s="17"/>
      <c r="H1547" s="10"/>
      <c r="I1547" s="17"/>
      <c r="J1547" s="82"/>
      <c r="K1547" s="340"/>
      <c r="L1547" s="344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>
      <c r="A1548" s="10" t="s">
        <v>768</v>
      </c>
      <c r="B1548" s="226" t="s">
        <v>769</v>
      </c>
      <c r="C1548" s="14" t="s">
        <v>781</v>
      </c>
      <c r="D1548" s="14"/>
      <c r="E1548" s="155"/>
      <c r="F1548" s="10"/>
      <c r="G1548" s="17"/>
      <c r="H1548" s="10"/>
      <c r="I1548" s="17"/>
      <c r="J1548" s="82"/>
      <c r="K1548" s="340"/>
      <c r="L1548" s="344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>
      <c r="A1549" s="10" t="s">
        <v>768</v>
      </c>
      <c r="B1549" s="226" t="s">
        <v>769</v>
      </c>
      <c r="C1549" s="14"/>
      <c r="D1549" s="14"/>
      <c r="E1549" s="155"/>
      <c r="F1549" s="10"/>
      <c r="G1549" s="17"/>
      <c r="H1549" s="10"/>
      <c r="I1549" s="17"/>
      <c r="J1549" s="82"/>
      <c r="K1549" s="340"/>
      <c r="L1549" s="344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P/C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64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>
      <c r="A1550" s="10" t="s">
        <v>768</v>
      </c>
      <c r="B1550" s="226" t="s">
        <v>769</v>
      </c>
      <c r="C1550" s="14"/>
      <c r="D1550" s="14"/>
      <c r="E1550" s="155"/>
      <c r="F1550" s="10"/>
      <c r="G1550" s="17"/>
      <c r="H1550" s="10"/>
      <c r="I1550" s="17"/>
      <c r="J1550" s="82"/>
      <c r="K1550" s="340"/>
      <c r="L1550" s="344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>
      <c r="A1551" s="10" t="s">
        <v>768</v>
      </c>
      <c r="B1551" s="226" t="s">
        <v>769</v>
      </c>
      <c r="C1551" s="14"/>
      <c r="D1551" s="14"/>
      <c r="E1551" s="155"/>
      <c r="F1551" s="10"/>
      <c r="G1551" s="17"/>
      <c r="H1551" s="10"/>
      <c r="I1551" s="17"/>
      <c r="J1551" s="82"/>
      <c r="K1551" s="340"/>
      <c r="L1551" s="344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>
      <c r="A1552" s="10" t="s">
        <v>768</v>
      </c>
      <c r="B1552" s="226" t="s">
        <v>769</v>
      </c>
      <c r="C1552" s="14"/>
      <c r="D1552" s="14"/>
      <c r="E1552" s="155"/>
      <c r="F1552" s="10"/>
      <c r="G1552" s="17"/>
      <c r="H1552" s="10"/>
      <c r="I1552" s="17"/>
      <c r="J1552" s="82"/>
      <c r="K1552" s="340"/>
      <c r="L1552" s="344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>
      <c r="A1553" s="10" t="s">
        <v>768</v>
      </c>
      <c r="B1553" s="226" t="s">
        <v>769</v>
      </c>
      <c r="C1553" s="14"/>
      <c r="D1553" s="14"/>
      <c r="E1553" s="155"/>
      <c r="F1553" s="10"/>
      <c r="G1553" s="17"/>
      <c r="H1553" s="10"/>
      <c r="I1553" s="17"/>
      <c r="J1553" s="82"/>
      <c r="K1553" s="340"/>
      <c r="L1553" s="344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>
      <c r="A1554" s="10" t="s">
        <v>768</v>
      </c>
      <c r="B1554" s="226" t="s">
        <v>769</v>
      </c>
      <c r="C1554" s="14"/>
      <c r="D1554" s="14"/>
      <c r="E1554" s="155"/>
      <c r="F1554" s="10"/>
      <c r="G1554" s="17"/>
      <c r="H1554" s="10"/>
      <c r="I1554" s="17"/>
      <c r="J1554" s="82"/>
      <c r="K1554" s="340"/>
      <c r="L1554" s="344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>
      <c r="A1555" s="10" t="s">
        <v>768</v>
      </c>
      <c r="B1555" s="226" t="s">
        <v>769</v>
      </c>
      <c r="C1555" s="14"/>
      <c r="D1555" s="14"/>
      <c r="E1555" s="155"/>
      <c r="F1555" s="10"/>
      <c r="G1555" s="17"/>
      <c r="H1555" s="10"/>
      <c r="I1555" s="17"/>
      <c r="J1555" s="82"/>
      <c r="K1555" s="340"/>
      <c r="L1555" s="344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>
      <c r="A1556" s="10" t="s">
        <v>768</v>
      </c>
      <c r="B1556" s="226" t="s">
        <v>769</v>
      </c>
      <c r="C1556" s="14"/>
      <c r="D1556" s="14"/>
      <c r="E1556" s="155"/>
      <c r="F1556" s="10"/>
      <c r="G1556" s="17"/>
      <c r="H1556" s="10"/>
      <c r="I1556" s="17"/>
      <c r="J1556" s="82"/>
      <c r="K1556" s="340"/>
      <c r="L1556" s="344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>
      <c r="A1557" s="10" t="s">
        <v>768</v>
      </c>
      <c r="B1557" s="226" t="s">
        <v>769</v>
      </c>
      <c r="C1557" s="10"/>
      <c r="D1557" s="14"/>
      <c r="E1557" s="155"/>
      <c r="F1557" s="10"/>
      <c r="G1557" s="17"/>
      <c r="H1557" s="10"/>
      <c r="I1557" s="17"/>
      <c r="J1557" s="82"/>
      <c r="K1557" s="340"/>
      <c r="L1557" s="344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>
      <c r="A1558" s="10" t="s">
        <v>768</v>
      </c>
      <c r="B1558" s="226" t="s">
        <v>769</v>
      </c>
      <c r="C1558" s="10"/>
      <c r="D1558" s="14"/>
      <c r="E1558" s="155"/>
      <c r="F1558" s="10"/>
      <c r="G1558" s="17"/>
      <c r="H1558" s="10"/>
      <c r="I1558" s="17"/>
      <c r="J1558" s="82"/>
      <c r="K1558" s="340"/>
      <c r="L1558" s="344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>
      <c r="A1559" s="10" t="s">
        <v>768</v>
      </c>
      <c r="B1559" s="226" t="s">
        <v>769</v>
      </c>
      <c r="C1559" s="10"/>
      <c r="D1559" s="14"/>
      <c r="E1559" s="155"/>
      <c r="F1559" s="10"/>
      <c r="G1559" s="17"/>
      <c r="H1559" s="10"/>
      <c r="I1559" s="17"/>
      <c r="J1559" s="82"/>
      <c r="K1559" s="340"/>
      <c r="L1559" s="344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>
      <c r="A1560" s="10" t="s">
        <v>768</v>
      </c>
      <c r="B1560" s="226" t="s">
        <v>769</v>
      </c>
      <c r="C1560" s="10"/>
      <c r="D1560" s="14"/>
      <c r="E1560" s="155"/>
      <c r="F1560" s="10"/>
      <c r="G1560" s="17"/>
      <c r="H1560" s="10"/>
      <c r="I1560" s="17"/>
      <c r="J1560" s="82"/>
      <c r="K1560" s="340"/>
      <c r="L1560" s="344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>
      <c r="A1561" s="10" t="s">
        <v>768</v>
      </c>
      <c r="B1561" s="226" t="s">
        <v>769</v>
      </c>
      <c r="C1561" s="10"/>
      <c r="D1561" s="14"/>
      <c r="E1561" s="155"/>
      <c r="F1561" s="10"/>
      <c r="G1561" s="17"/>
      <c r="H1561" s="10"/>
      <c r="I1561" s="17"/>
      <c r="J1561" s="82"/>
      <c r="K1561" s="340"/>
      <c r="L1561" s="344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>
      <c r="A1562" s="10" t="s">
        <v>768</v>
      </c>
      <c r="B1562" s="226" t="s">
        <v>769</v>
      </c>
      <c r="C1562" s="10"/>
      <c r="D1562" s="14"/>
      <c r="E1562" s="155"/>
      <c r="F1562" s="10"/>
      <c r="G1562" s="17"/>
      <c r="H1562" s="10"/>
      <c r="I1562" s="17"/>
      <c r="J1562" s="82"/>
      <c r="K1562" s="340"/>
      <c r="L1562" s="344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>
      <c r="A1563" s="10" t="s">
        <v>768</v>
      </c>
      <c r="B1563" s="226" t="s">
        <v>769</v>
      </c>
      <c r="C1563" s="10"/>
      <c r="D1563" s="14"/>
      <c r="E1563" s="155"/>
      <c r="F1563" s="10"/>
      <c r="G1563" s="17"/>
      <c r="H1563" s="10"/>
      <c r="I1563" s="17"/>
      <c r="J1563" s="82"/>
      <c r="K1563" s="340"/>
      <c r="L1563" s="344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>
      <c r="A1564" s="10" t="s">
        <v>768</v>
      </c>
      <c r="B1564" s="226" t="s">
        <v>769</v>
      </c>
      <c r="C1564" s="10"/>
      <c r="D1564" s="14"/>
      <c r="E1564" s="155"/>
      <c r="F1564" s="10"/>
      <c r="G1564" s="17"/>
      <c r="H1564" s="10"/>
      <c r="I1564" s="17"/>
      <c r="J1564" s="82"/>
      <c r="K1564" s="340"/>
      <c r="L1564" s="344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>
      <c r="A1565" s="10" t="s">
        <v>768</v>
      </c>
      <c r="B1565" s="226" t="s">
        <v>769</v>
      </c>
      <c r="C1565" s="10"/>
      <c r="D1565" s="14"/>
      <c r="E1565" s="155"/>
      <c r="F1565" s="10"/>
      <c r="G1565" s="17"/>
      <c r="H1565" s="10"/>
      <c r="I1565" s="17"/>
      <c r="J1565" s="82"/>
      <c r="K1565" s="340"/>
      <c r="L1565" s="344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>
      <c r="A1566" s="10" t="s">
        <v>768</v>
      </c>
      <c r="B1566" s="226" t="s">
        <v>769</v>
      </c>
      <c r="C1566" s="10"/>
      <c r="D1566" s="14"/>
      <c r="E1566" s="155"/>
      <c r="F1566" s="10"/>
      <c r="G1566" s="17"/>
      <c r="H1566" s="10"/>
      <c r="I1566" s="17"/>
      <c r="J1566" s="82"/>
      <c r="K1566" s="340"/>
      <c r="L1566" s="344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>
      <c r="A1567" s="10" t="s">
        <v>768</v>
      </c>
      <c r="B1567" s="226" t="s">
        <v>769</v>
      </c>
      <c r="C1567" s="10"/>
      <c r="D1567" s="14"/>
      <c r="E1567" s="155"/>
      <c r="F1567" s="10"/>
      <c r="G1567" s="17"/>
      <c r="H1567" s="10"/>
      <c r="I1567" s="17"/>
      <c r="J1567" s="82"/>
      <c r="K1567" s="340"/>
      <c r="L1567" s="344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>
      <c r="A1568" s="10" t="s">
        <v>768</v>
      </c>
      <c r="B1568" s="226" t="s">
        <v>769</v>
      </c>
      <c r="C1568" s="10"/>
      <c r="D1568" s="14"/>
      <c r="E1568" s="155"/>
      <c r="F1568" s="10"/>
      <c r="G1568" s="17"/>
      <c r="H1568" s="10"/>
      <c r="I1568" s="17"/>
      <c r="J1568" s="82"/>
      <c r="K1568" s="340"/>
      <c r="L1568" s="344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>
      <c r="A1569" s="10" t="s">
        <v>768</v>
      </c>
      <c r="B1569" s="226" t="s">
        <v>769</v>
      </c>
      <c r="C1569" s="10"/>
      <c r="D1569" s="14"/>
      <c r="E1569" s="155"/>
      <c r="F1569" s="10"/>
      <c r="G1569" s="17"/>
      <c r="H1569" s="10"/>
      <c r="I1569" s="17"/>
      <c r="J1569" s="82"/>
      <c r="K1569" s="340"/>
      <c r="L1569" s="344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>
      <c r="A1570" s="10" t="s">
        <v>768</v>
      </c>
      <c r="B1570" s="226" t="s">
        <v>769</v>
      </c>
      <c r="C1570" s="10"/>
      <c r="D1570" s="14"/>
      <c r="E1570" s="155"/>
      <c r="F1570" s="10"/>
      <c r="G1570" s="17"/>
      <c r="H1570" s="10"/>
      <c r="I1570" s="17"/>
      <c r="J1570" s="82"/>
      <c r="K1570" s="340"/>
      <c r="L1570" s="344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>
      <c r="A1571" s="10" t="s">
        <v>768</v>
      </c>
      <c r="B1571" s="226" t="s">
        <v>769</v>
      </c>
      <c r="C1571" s="10"/>
      <c r="D1571" s="14"/>
      <c r="E1571" s="155"/>
      <c r="F1571" s="10"/>
      <c r="G1571" s="17"/>
      <c r="H1571" s="10"/>
      <c r="I1571" s="17"/>
      <c r="J1571" s="82"/>
      <c r="K1571" s="340"/>
      <c r="L1571" s="344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>
      <c r="A1572" s="10" t="s">
        <v>768</v>
      </c>
      <c r="B1572" s="226" t="s">
        <v>769</v>
      </c>
      <c r="C1572" s="10"/>
      <c r="D1572" s="14"/>
      <c r="E1572" s="155"/>
      <c r="F1572" s="10"/>
      <c r="G1572" s="17"/>
      <c r="H1572" s="10"/>
      <c r="I1572" s="17"/>
      <c r="J1572" s="82"/>
      <c r="K1572" s="340"/>
      <c r="L1572" s="344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>
      <c r="A1573" s="10" t="s">
        <v>768</v>
      </c>
      <c r="B1573" s="226" t="s">
        <v>769</v>
      </c>
      <c r="C1573" s="10"/>
      <c r="D1573" s="14"/>
      <c r="E1573" s="155"/>
      <c r="F1573" s="10"/>
      <c r="G1573" s="17"/>
      <c r="H1573" s="10"/>
      <c r="I1573" s="17"/>
      <c r="J1573" s="82"/>
      <c r="K1573" s="340"/>
      <c r="L1573" s="344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>
      <c r="A1574" s="10" t="s">
        <v>768</v>
      </c>
      <c r="B1574" s="226"/>
      <c r="C1574" s="10"/>
      <c r="D1574" s="14"/>
      <c r="E1574" s="155"/>
      <c r="F1574" s="10"/>
      <c r="G1574" s="17"/>
      <c r="H1574" s="10"/>
      <c r="I1574" s="17"/>
      <c r="J1574" s="82"/>
      <c r="K1574" s="340"/>
      <c r="L1574" s="344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>
      <c r="A1575" s="17" t="s">
        <v>768</v>
      </c>
      <c r="B1575" s="227"/>
      <c r="C1575" s="17"/>
      <c r="D1575" s="18"/>
      <c r="E1575" s="235"/>
      <c r="F1575" s="17"/>
      <c r="G1575" s="17"/>
      <c r="H1575" s="17"/>
      <c r="I1575" s="17"/>
      <c r="J1575" s="83"/>
      <c r="K1575" s="340"/>
      <c r="L1575" s="344"/>
      <c r="M1575" s="89"/>
      <c r="N1575" s="17"/>
      <c r="O1575" s="25"/>
      <c r="P1575" s="91"/>
      <c r="Q1575" s="177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>
      <c r="A1576" s="10" t="s">
        <v>253</v>
      </c>
      <c r="B1576" s="226" t="s">
        <v>372</v>
      </c>
      <c r="C1576" s="10" t="s">
        <v>928</v>
      </c>
      <c r="D1576" s="14" t="str">
        <f>P1576</f>
        <v>Below 30" x 84" ecobonz 2.5mm Glossy / VACP 800 Series</v>
      </c>
      <c r="E1576" s="245" t="s">
        <v>375</v>
      </c>
      <c r="F1576" s="112" t="s">
        <v>382</v>
      </c>
      <c r="G1576" s="17" t="s">
        <v>381</v>
      </c>
      <c r="H1576" s="10"/>
      <c r="I1576" s="17"/>
      <c r="J1576" s="82"/>
      <c r="K1576" s="341">
        <v>0.286028</v>
      </c>
      <c r="L1576" s="344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>
      <c r="A1577" s="10" t="s">
        <v>253</v>
      </c>
      <c r="B1577" s="226" t="s">
        <v>372</v>
      </c>
      <c r="C1577" s="10" t="s">
        <v>928</v>
      </c>
      <c r="D1577" s="14" t="str">
        <f t="shared" ref="D1577:D1584" si="32">P1577</f>
        <v>Below 30" x 84" ecoscreen 2.5mm</v>
      </c>
      <c r="E1577" s="245" t="s">
        <v>376</v>
      </c>
      <c r="F1577" s="112" t="s">
        <v>383</v>
      </c>
      <c r="G1577" s="17"/>
      <c r="H1577" s="10"/>
      <c r="I1577" s="17"/>
      <c r="J1577" s="82"/>
      <c r="K1577" s="340"/>
      <c r="L1577" s="344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>
      <c r="A1578" s="10" t="s">
        <v>253</v>
      </c>
      <c r="B1578" s="226" t="s">
        <v>372</v>
      </c>
      <c r="C1578" s="10" t="s">
        <v>928</v>
      </c>
      <c r="D1578" s="14" t="str">
        <f t="shared" si="32"/>
        <v>Below 30" x 84" ecopoly 2.5mm</v>
      </c>
      <c r="E1578" s="155" t="s">
        <v>377</v>
      </c>
      <c r="F1578" s="14" t="s">
        <v>384</v>
      </c>
      <c r="G1578" s="17"/>
      <c r="H1578" s="10"/>
      <c r="I1578" s="17"/>
      <c r="J1578" s="82"/>
      <c r="K1578" s="340"/>
      <c r="L1578" s="344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>
      <c r="A1579" s="10" t="s">
        <v>253</v>
      </c>
      <c r="B1579" s="226" t="s">
        <v>372</v>
      </c>
      <c r="C1579" s="10" t="s">
        <v>928</v>
      </c>
      <c r="D1579" s="14" t="str">
        <f t="shared" si="32"/>
        <v>Below 30" x 84" Aerolite</v>
      </c>
      <c r="E1579" s="155" t="s">
        <v>378</v>
      </c>
      <c r="F1579" s="14"/>
      <c r="G1579" s="17"/>
      <c r="H1579" s="10"/>
      <c r="I1579" s="17"/>
      <c r="J1579" s="82"/>
      <c r="K1579" s="340"/>
      <c r="L1579" s="344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>
      <c r="A1580" s="10" t="s">
        <v>253</v>
      </c>
      <c r="B1580" s="226" t="s">
        <v>372</v>
      </c>
      <c r="C1580" s="10" t="s">
        <v>928</v>
      </c>
      <c r="D1580" s="14" t="str">
        <f t="shared" si="32"/>
        <v>1. Below 30" x 84" Composite</v>
      </c>
      <c r="E1580" s="155" t="s">
        <v>379</v>
      </c>
      <c r="F1580" s="14"/>
      <c r="G1580" s="17"/>
      <c r="H1580" s="10"/>
      <c r="I1580" s="17"/>
      <c r="J1580" s="82"/>
      <c r="K1580" s="340"/>
      <c r="L1580" s="344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>
      <c r="A1581" s="10" t="s">
        <v>253</v>
      </c>
      <c r="B1581" s="226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5"/>
      <c r="F1581" s="14"/>
      <c r="G1581" s="17"/>
      <c r="H1581" s="10"/>
      <c r="I1581" s="17"/>
      <c r="J1581" s="82"/>
      <c r="K1581" s="340"/>
      <c r="L1581" s="344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>
      <c r="A1582" s="10" t="s">
        <v>253</v>
      </c>
      <c r="B1582" s="226" t="s">
        <v>372</v>
      </c>
      <c r="C1582" s="10" t="s">
        <v>928</v>
      </c>
      <c r="D1582" s="14" t="str">
        <f t="shared" si="32"/>
        <v>Below 30" x 84" N.Clear Glass</v>
      </c>
      <c r="E1582" s="155"/>
      <c r="F1582" s="14"/>
      <c r="G1582" s="17"/>
      <c r="H1582" s="10"/>
      <c r="I1582" s="17"/>
      <c r="J1582" s="82"/>
      <c r="K1582" s="340"/>
      <c r="L1582" s="344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>
      <c r="A1583" s="10" t="s">
        <v>253</v>
      </c>
      <c r="B1583" s="226" t="s">
        <v>372</v>
      </c>
      <c r="C1583" s="10" t="s">
        <v>928</v>
      </c>
      <c r="D1583" s="14" t="str">
        <f t="shared" si="32"/>
        <v>Below 30" x 84" Tempered Glass</v>
      </c>
      <c r="E1583" s="155"/>
      <c r="F1583" s="14"/>
      <c r="G1583" s="17"/>
      <c r="H1583" s="10"/>
      <c r="I1583" s="17"/>
      <c r="J1583" s="82"/>
      <c r="K1583" s="340"/>
      <c r="L1583" s="344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>
      <c r="A1584" s="10" t="s">
        <v>253</v>
      </c>
      <c r="B1584" s="226" t="s">
        <v>372</v>
      </c>
      <c r="C1584" s="10" t="s">
        <v>928</v>
      </c>
      <c r="D1584" s="14" t="str">
        <f t="shared" si="32"/>
        <v>Below 30" x 84" Full Louvers</v>
      </c>
      <c r="E1584" s="155"/>
      <c r="F1584" s="14"/>
      <c r="G1584" s="17"/>
      <c r="H1584" s="10"/>
      <c r="I1584" s="17"/>
      <c r="J1584" s="82"/>
      <c r="K1584" s="340"/>
      <c r="L1584" s="344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>
      <c r="A1585" s="10" t="s">
        <v>253</v>
      </c>
      <c r="B1585" s="226" t="s">
        <v>372</v>
      </c>
      <c r="C1585" s="10" t="s">
        <v>928</v>
      </c>
      <c r="D1585" s="107"/>
      <c r="E1585" s="155"/>
      <c r="F1585" s="14"/>
      <c r="G1585" s="17"/>
      <c r="H1585" s="10"/>
      <c r="I1585" s="17"/>
      <c r="J1585" s="82"/>
      <c r="K1585" s="341"/>
      <c r="L1585" s="344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8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>
      <c r="A1586" s="10" t="s">
        <v>253</v>
      </c>
      <c r="B1586" s="226" t="s">
        <v>372</v>
      </c>
      <c r="C1586" s="10" t="s">
        <v>928</v>
      </c>
      <c r="D1586" s="14"/>
      <c r="E1586" s="155"/>
      <c r="F1586" s="14"/>
      <c r="G1586" s="17"/>
      <c r="H1586" s="10"/>
      <c r="I1586" s="17"/>
      <c r="J1586" s="82"/>
      <c r="K1586" s="341"/>
      <c r="L1586" s="344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>
      <c r="A1587" s="10" t="s">
        <v>253</v>
      </c>
      <c r="B1587" s="226" t="s">
        <v>372</v>
      </c>
      <c r="C1587" s="10" t="s">
        <v>928</v>
      </c>
      <c r="D1587" s="14"/>
      <c r="E1587" s="155"/>
      <c r="F1587" s="14"/>
      <c r="G1587" s="17"/>
      <c r="H1587" s="10"/>
      <c r="I1587" s="17"/>
      <c r="J1587" s="82"/>
      <c r="K1587" s="340"/>
      <c r="L1587" s="344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>
      <c r="A1588" s="10" t="s">
        <v>253</v>
      </c>
      <c r="B1588" s="226" t="s">
        <v>372</v>
      </c>
      <c r="C1588" s="10" t="s">
        <v>928</v>
      </c>
      <c r="D1588" s="14"/>
      <c r="E1588" s="155"/>
      <c r="F1588" s="14"/>
      <c r="G1588" s="17"/>
      <c r="H1588" s="10"/>
      <c r="I1588" s="17"/>
      <c r="J1588" s="82"/>
      <c r="K1588" s="340"/>
      <c r="L1588" s="344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4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>
      <c r="A1589" s="10" t="s">
        <v>253</v>
      </c>
      <c r="B1589" s="226" t="s">
        <v>372</v>
      </c>
      <c r="C1589" s="10" t="s">
        <v>928</v>
      </c>
      <c r="D1589" s="14"/>
      <c r="E1589" s="155"/>
      <c r="F1589" s="14"/>
      <c r="G1589" s="17"/>
      <c r="H1589" s="10"/>
      <c r="I1589" s="17"/>
      <c r="J1589" s="82"/>
      <c r="K1589" s="340"/>
      <c r="L1589" s="344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>
      <c r="A1590" s="10" t="s">
        <v>253</v>
      </c>
      <c r="B1590" s="226" t="s">
        <v>372</v>
      </c>
      <c r="C1590" s="10" t="s">
        <v>928</v>
      </c>
      <c r="D1590" s="14"/>
      <c r="E1590" s="155"/>
      <c r="F1590" s="14"/>
      <c r="G1590" s="17"/>
      <c r="H1590" s="10"/>
      <c r="I1590" s="17"/>
      <c r="J1590" s="82"/>
      <c r="K1590" s="340"/>
      <c r="L1590" s="344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Breezway 102mm Glass Infill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>
      <c r="A1591" s="10" t="s">
        <v>253</v>
      </c>
      <c r="B1591" s="226" t="s">
        <v>372</v>
      </c>
      <c r="C1591" s="10" t="s">
        <v>928</v>
      </c>
      <c r="D1591" s="14"/>
      <c r="E1591" s="155"/>
      <c r="F1591" s="14"/>
      <c r="G1591" s="17"/>
      <c r="H1591" s="10"/>
      <c r="I1591" s="17"/>
      <c r="J1591" s="82"/>
      <c r="K1591" s="340"/>
      <c r="L1591" s="344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>
      <c r="A1592" s="17"/>
      <c r="B1592" s="227"/>
      <c r="C1592" s="17"/>
      <c r="D1592" s="18"/>
      <c r="E1592" s="235"/>
      <c r="F1592" s="18"/>
      <c r="G1592" s="17"/>
      <c r="H1592" s="17"/>
      <c r="I1592" s="17"/>
      <c r="J1592" s="83"/>
      <c r="K1592" s="340"/>
      <c r="L1592" s="344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>
      <c r="A1593" s="10" t="s">
        <v>253</v>
      </c>
      <c r="B1593" s="226" t="s">
        <v>372</v>
      </c>
      <c r="C1593" s="10" t="s">
        <v>929</v>
      </c>
      <c r="D1593" s="14" t="str">
        <f>P1593</f>
        <v>Below 30" x 84" ecobonz 2.5mm Glossy / VACP 800 Series</v>
      </c>
      <c r="E1593" s="245" t="s">
        <v>375</v>
      </c>
      <c r="F1593" s="112" t="s">
        <v>382</v>
      </c>
      <c r="G1593" s="17" t="s">
        <v>381</v>
      </c>
      <c r="H1593" s="10"/>
      <c r="I1593" s="17"/>
      <c r="J1593" s="82"/>
      <c r="K1593" s="341">
        <v>0.28156700000000001</v>
      </c>
      <c r="L1593" s="344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>
      <c r="A1594" s="10" t="s">
        <v>253</v>
      </c>
      <c r="B1594" s="226" t="s">
        <v>372</v>
      </c>
      <c r="C1594" s="10" t="s">
        <v>929</v>
      </c>
      <c r="D1594" s="14" t="str">
        <f t="shared" ref="D1594:D1601" si="34">P1594</f>
        <v>Below 30" x 84" ecoscreen 2.5mm</v>
      </c>
      <c r="E1594" s="245" t="s">
        <v>376</v>
      </c>
      <c r="F1594" s="112" t="s">
        <v>383</v>
      </c>
      <c r="G1594" s="17"/>
      <c r="H1594" s="10"/>
      <c r="I1594" s="17"/>
      <c r="J1594" s="82"/>
      <c r="K1594" s="340"/>
      <c r="L1594" s="344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>
      <c r="A1595" s="10" t="s">
        <v>253</v>
      </c>
      <c r="B1595" s="226" t="s">
        <v>372</v>
      </c>
      <c r="C1595" s="10" t="s">
        <v>929</v>
      </c>
      <c r="D1595" s="14" t="str">
        <f t="shared" si="34"/>
        <v>Below 30" x 84" ecopoly 2.5mm</v>
      </c>
      <c r="E1595" s="155" t="s">
        <v>377</v>
      </c>
      <c r="F1595" s="14" t="s">
        <v>384</v>
      </c>
      <c r="G1595" s="17"/>
      <c r="H1595" s="10"/>
      <c r="I1595" s="17"/>
      <c r="J1595" s="82"/>
      <c r="K1595" s="340"/>
      <c r="L1595" s="344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>
      <c r="A1596" s="10" t="s">
        <v>253</v>
      </c>
      <c r="B1596" s="226" t="s">
        <v>372</v>
      </c>
      <c r="C1596" s="10" t="s">
        <v>929</v>
      </c>
      <c r="D1596" s="14" t="str">
        <f t="shared" si="34"/>
        <v>Below 30" x 84" Aerolite</v>
      </c>
      <c r="E1596" s="155" t="s">
        <v>378</v>
      </c>
      <c r="F1596" s="14"/>
      <c r="G1596" s="17"/>
      <c r="H1596" s="10"/>
      <c r="I1596" s="17"/>
      <c r="J1596" s="82"/>
      <c r="K1596" s="340"/>
      <c r="L1596" s="344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>
      <c r="A1597" s="10" t="s">
        <v>253</v>
      </c>
      <c r="B1597" s="226" t="s">
        <v>372</v>
      </c>
      <c r="C1597" s="10" t="s">
        <v>929</v>
      </c>
      <c r="D1597" s="14" t="str">
        <f t="shared" si="34"/>
        <v>1. Below 30" x 84" Composite</v>
      </c>
      <c r="E1597" s="155" t="s">
        <v>379</v>
      </c>
      <c r="F1597" s="14"/>
      <c r="G1597" s="17"/>
      <c r="H1597" s="10"/>
      <c r="I1597" s="17"/>
      <c r="J1597" s="82"/>
      <c r="K1597" s="340"/>
      <c r="L1597" s="344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>
      <c r="A1598" s="10" t="s">
        <v>253</v>
      </c>
      <c r="B1598" s="226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5"/>
      <c r="F1598" s="14"/>
      <c r="G1598" s="17"/>
      <c r="H1598" s="10"/>
      <c r="I1598" s="17"/>
      <c r="J1598" s="82"/>
      <c r="K1598" s="340"/>
      <c r="L1598" s="344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>
      <c r="A1599" s="10" t="s">
        <v>253</v>
      </c>
      <c r="B1599" s="226" t="s">
        <v>372</v>
      </c>
      <c r="C1599" s="10" t="s">
        <v>929</v>
      </c>
      <c r="D1599" s="14" t="str">
        <f t="shared" si="34"/>
        <v>Below 30" x 84" N.Clear Glass</v>
      </c>
      <c r="E1599" s="155"/>
      <c r="F1599" s="14"/>
      <c r="G1599" s="17"/>
      <c r="H1599" s="10"/>
      <c r="I1599" s="17"/>
      <c r="J1599" s="82"/>
      <c r="K1599" s="340"/>
      <c r="L1599" s="344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>
      <c r="A1600" s="10" t="s">
        <v>253</v>
      </c>
      <c r="B1600" s="226" t="s">
        <v>372</v>
      </c>
      <c r="C1600" s="10" t="s">
        <v>929</v>
      </c>
      <c r="D1600" s="14" t="str">
        <f t="shared" si="34"/>
        <v>Below 30" x 84" Tempered Glass</v>
      </c>
      <c r="E1600" s="155"/>
      <c r="F1600" s="14"/>
      <c r="G1600" s="17"/>
      <c r="H1600" s="10"/>
      <c r="I1600" s="17"/>
      <c r="J1600" s="82"/>
      <c r="K1600" s="340"/>
      <c r="L1600" s="344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>
      <c r="A1601" s="10" t="s">
        <v>253</v>
      </c>
      <c r="B1601" s="226" t="s">
        <v>372</v>
      </c>
      <c r="C1601" s="10" t="s">
        <v>929</v>
      </c>
      <c r="D1601" s="14" t="str">
        <f t="shared" si="34"/>
        <v>Below 30" x 84" Full Louvers</v>
      </c>
      <c r="E1601" s="155"/>
      <c r="F1601" s="14"/>
      <c r="G1601" s="17"/>
      <c r="H1601" s="10"/>
      <c r="I1601" s="17"/>
      <c r="J1601" s="82"/>
      <c r="K1601" s="340"/>
      <c r="L1601" s="344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>
      <c r="A1602" s="10" t="s">
        <v>253</v>
      </c>
      <c r="B1602" s="226" t="s">
        <v>372</v>
      </c>
      <c r="C1602" s="10" t="s">
        <v>929</v>
      </c>
      <c r="D1602" s="107"/>
      <c r="E1602" s="155"/>
      <c r="F1602" s="10"/>
      <c r="G1602" s="17"/>
      <c r="H1602" s="10"/>
      <c r="I1602" s="17"/>
      <c r="J1602" s="82"/>
      <c r="K1602" s="341"/>
      <c r="L1602" s="344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8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>
      <c r="A1603" s="10" t="s">
        <v>253</v>
      </c>
      <c r="B1603" s="226" t="s">
        <v>372</v>
      </c>
      <c r="C1603" s="10" t="s">
        <v>929</v>
      </c>
      <c r="D1603" s="107"/>
      <c r="E1603" s="155"/>
      <c r="F1603" s="14"/>
      <c r="G1603" s="17"/>
      <c r="H1603" s="10"/>
      <c r="I1603" s="17"/>
      <c r="J1603" s="82"/>
      <c r="K1603" s="341"/>
      <c r="L1603" s="344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>
      <c r="A1604" s="10" t="s">
        <v>253</v>
      </c>
      <c r="B1604" s="226" t="s">
        <v>372</v>
      </c>
      <c r="C1604" s="10" t="s">
        <v>929</v>
      </c>
      <c r="D1604" s="14"/>
      <c r="E1604" s="155"/>
      <c r="F1604" s="14"/>
      <c r="G1604" s="17"/>
      <c r="H1604" s="10"/>
      <c r="I1604" s="17"/>
      <c r="J1604" s="82"/>
      <c r="K1604" s="341"/>
      <c r="L1604" s="344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>
      <c r="A1605" s="10" t="s">
        <v>253</v>
      </c>
      <c r="B1605" s="226" t="s">
        <v>372</v>
      </c>
      <c r="C1605" s="10" t="s">
        <v>929</v>
      </c>
      <c r="D1605" s="14"/>
      <c r="E1605" s="155"/>
      <c r="F1605" s="14"/>
      <c r="G1605" s="17"/>
      <c r="H1605" s="10"/>
      <c r="I1605" s="17"/>
      <c r="J1605" s="82"/>
      <c r="K1605" s="340"/>
      <c r="L1605" s="344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4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>
      <c r="A1606" s="10" t="s">
        <v>253</v>
      </c>
      <c r="B1606" s="226" t="s">
        <v>372</v>
      </c>
      <c r="C1606" s="10" t="s">
        <v>929</v>
      </c>
      <c r="D1606" s="14"/>
      <c r="E1606" s="155"/>
      <c r="F1606" s="14"/>
      <c r="G1606" s="17"/>
      <c r="H1606" s="10"/>
      <c r="I1606" s="17"/>
      <c r="J1606" s="82"/>
      <c r="K1606" s="340"/>
      <c r="L1606" s="344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>
      <c r="A1607" s="10" t="s">
        <v>253</v>
      </c>
      <c r="B1607" s="226" t="s">
        <v>372</v>
      </c>
      <c r="C1607" s="10" t="s">
        <v>929</v>
      </c>
      <c r="D1607" s="14"/>
      <c r="E1607" s="155"/>
      <c r="F1607" s="14"/>
      <c r="G1607" s="17"/>
      <c r="H1607" s="10"/>
      <c r="I1607" s="17"/>
      <c r="J1607" s="82"/>
      <c r="K1607" s="340"/>
      <c r="L1607" s="344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Breezway 102mm Glass Infill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>
      <c r="A1608" s="10" t="s">
        <v>253</v>
      </c>
      <c r="B1608" s="226" t="s">
        <v>372</v>
      </c>
      <c r="C1608" s="10" t="s">
        <v>929</v>
      </c>
      <c r="D1608" s="14"/>
      <c r="E1608" s="155"/>
      <c r="F1608" s="14"/>
      <c r="G1608" s="17"/>
      <c r="H1608" s="10"/>
      <c r="I1608" s="17"/>
      <c r="J1608" s="82"/>
      <c r="K1608" s="340"/>
      <c r="L1608" s="344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>
      <c r="A1609" s="17"/>
      <c r="B1609" s="227"/>
      <c r="C1609" s="17"/>
      <c r="D1609" s="18"/>
      <c r="E1609" s="235"/>
      <c r="F1609" s="17"/>
      <c r="G1609" s="17"/>
      <c r="H1609" s="17"/>
      <c r="I1609" s="17"/>
      <c r="J1609" s="83"/>
      <c r="K1609" s="340"/>
      <c r="L1609" s="344"/>
      <c r="M1609" s="89"/>
      <c r="N1609" s="17"/>
      <c r="O1609" s="25"/>
      <c r="P1609" s="91"/>
      <c r="Q1609" s="177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>
      <c r="A1610" s="10" t="s">
        <v>768</v>
      </c>
      <c r="B1610" s="230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5"/>
      <c r="F1610" s="21"/>
      <c r="G1610" s="17"/>
      <c r="H1610" s="10"/>
      <c r="I1610" s="17"/>
      <c r="J1610" s="82"/>
      <c r="K1610" s="341">
        <v>0.56403999999999999</v>
      </c>
      <c r="L1610" s="344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7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>
      <c r="A1611" s="10" t="s">
        <v>768</v>
      </c>
      <c r="B1611" s="230" t="s">
        <v>790</v>
      </c>
      <c r="C1611" s="14" t="s">
        <v>97</v>
      </c>
      <c r="D1611" s="14" t="str">
        <v>Black Aluminium Mesh 1.6mm</v>
      </c>
      <c r="E1611" s="155"/>
      <c r="F1611" s="21"/>
      <c r="G1611" s="17"/>
      <c r="H1611" s="10"/>
      <c r="I1611" s="17"/>
      <c r="J1611" s="82"/>
      <c r="K1611" s="340"/>
      <c r="L1611" s="344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7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>
      <c r="A1612" s="10" t="s">
        <v>768</v>
      </c>
      <c r="B1612" s="230" t="s">
        <v>790</v>
      </c>
      <c r="C1612" s="14"/>
      <c r="D1612" s="14" t="str">
        <v>Black Aluminium Mesh 1.8mm</v>
      </c>
      <c r="E1612" s="155"/>
      <c r="F1612" s="14"/>
      <c r="G1612" s="17"/>
      <c r="H1612" s="10"/>
      <c r="I1612" s="17"/>
      <c r="J1612" s="82"/>
      <c r="K1612" s="340"/>
      <c r="L1612" s="344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P/C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64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>
      <c r="A1613" s="10" t="s">
        <v>768</v>
      </c>
      <c r="B1613" s="230" t="s">
        <v>790</v>
      </c>
      <c r="C1613" s="14"/>
      <c r="D1613" s="14" t="str">
        <v>Black Stainless Steel Mesh 1.0mm</v>
      </c>
      <c r="E1613" s="158"/>
      <c r="F1613" s="14"/>
      <c r="G1613" s="17"/>
      <c r="H1613" s="10"/>
      <c r="I1613" s="17"/>
      <c r="J1613" s="82"/>
      <c r="K1613" s="340"/>
      <c r="L1613" s="344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160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>
      <c r="A1614" s="10" t="s">
        <v>768</v>
      </c>
      <c r="B1614" s="226"/>
      <c r="C1614" s="14"/>
      <c r="D1614" s="14" t="str">
        <v/>
      </c>
      <c r="E1614" s="158"/>
      <c r="F1614" s="36"/>
      <c r="G1614" s="17"/>
      <c r="H1614" s="10"/>
      <c r="I1614" s="17"/>
      <c r="J1614" s="82"/>
      <c r="K1614" s="340"/>
      <c r="L1614" s="344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>
      <c r="A1615" s="10" t="s">
        <v>768</v>
      </c>
      <c r="B1615" s="226"/>
      <c r="C1615" s="14"/>
      <c r="D1615" s="14"/>
      <c r="E1615" s="158"/>
      <c r="F1615" s="14"/>
      <c r="G1615" s="17"/>
      <c r="H1615" s="10"/>
      <c r="I1615" s="17"/>
      <c r="J1615" s="82"/>
      <c r="K1615" s="340"/>
      <c r="L1615" s="344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>
      <c r="A1616" s="10" t="s">
        <v>768</v>
      </c>
      <c r="B1616" s="226"/>
      <c r="C1616" s="14"/>
      <c r="D1616" s="14"/>
      <c r="E1616" s="158"/>
      <c r="F1616" s="14"/>
      <c r="G1616" s="17"/>
      <c r="H1616" s="10"/>
      <c r="I1616" s="17"/>
      <c r="J1616" s="82"/>
      <c r="K1616" s="340"/>
      <c r="L1616" s="344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>
      <c r="A1617" s="10" t="s">
        <v>768</v>
      </c>
      <c r="B1617" s="226"/>
      <c r="C1617" s="14"/>
      <c r="D1617" s="14"/>
      <c r="E1617" s="244"/>
      <c r="F1617" s="10"/>
      <c r="G1617" s="17"/>
      <c r="H1617" s="10"/>
      <c r="I1617" s="17"/>
      <c r="J1617" s="82"/>
      <c r="K1617" s="340"/>
      <c r="L1617" s="344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>
      <c r="A1618" s="10" t="s">
        <v>768</v>
      </c>
      <c r="B1618" s="226"/>
      <c r="C1618" s="14"/>
      <c r="D1618" s="14"/>
      <c r="E1618" s="155"/>
      <c r="F1618" s="10"/>
      <c r="G1618" s="17"/>
      <c r="H1618" s="10"/>
      <c r="I1618" s="17"/>
      <c r="J1618" s="82"/>
      <c r="K1618" s="340"/>
      <c r="L1618" s="344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P/C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>
      <c r="A1619" s="10" t="s">
        <v>768</v>
      </c>
      <c r="B1619" s="226"/>
      <c r="C1619" s="14"/>
      <c r="D1619" s="14"/>
      <c r="E1619" s="155"/>
      <c r="F1619" s="10"/>
      <c r="G1619" s="17"/>
      <c r="H1619" s="10"/>
      <c r="I1619" s="17"/>
      <c r="J1619" s="82"/>
      <c r="K1619" s="340"/>
      <c r="L1619" s="344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32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>
      <c r="A1620" s="10" t="s">
        <v>768</v>
      </c>
      <c r="B1620" s="226"/>
      <c r="C1620" s="14"/>
      <c r="D1620" s="14"/>
      <c r="E1620" s="155"/>
      <c r="F1620" s="10"/>
      <c r="G1620" s="17"/>
      <c r="H1620" s="10"/>
      <c r="I1620" s="17"/>
      <c r="J1620" s="82"/>
      <c r="K1620" s="340"/>
      <c r="L1620" s="344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80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>
      <c r="A1621" s="10" t="s">
        <v>768</v>
      </c>
      <c r="B1621" s="226"/>
      <c r="C1621" s="14"/>
      <c r="D1621" s="14"/>
      <c r="E1621" s="155"/>
      <c r="F1621" s="10"/>
      <c r="G1621" s="17"/>
      <c r="H1621" s="10"/>
      <c r="I1621" s="17"/>
      <c r="J1621" s="82"/>
      <c r="K1621" s="340"/>
      <c r="L1621" s="344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160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>
      <c r="A1622" s="10" t="s">
        <v>768</v>
      </c>
      <c r="B1622" s="226"/>
      <c r="C1622" s="14"/>
      <c r="D1622" s="14"/>
      <c r="E1622" s="155"/>
      <c r="F1622" s="10"/>
      <c r="G1622" s="17"/>
      <c r="H1622" s="10"/>
      <c r="I1622" s="17"/>
      <c r="J1622" s="82"/>
      <c r="K1622" s="340"/>
      <c r="L1622" s="344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>
      <c r="A1623" s="10" t="s">
        <v>768</v>
      </c>
      <c r="B1623" s="226"/>
      <c r="C1623" s="14"/>
      <c r="D1623" s="14"/>
      <c r="E1623" s="155"/>
      <c r="F1623" s="10"/>
      <c r="G1623" s="17"/>
      <c r="H1623" s="10"/>
      <c r="I1623" s="17"/>
      <c r="J1623" s="82"/>
      <c r="K1623" s="340"/>
      <c r="L1623" s="344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4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>
      <c r="A1624" s="10" t="s">
        <v>768</v>
      </c>
      <c r="B1624" s="226"/>
      <c r="C1624" s="14"/>
      <c r="D1624" s="14"/>
      <c r="E1624" s="155"/>
      <c r="F1624" s="10"/>
      <c r="G1624" s="17"/>
      <c r="H1624" s="10"/>
      <c r="I1624" s="17"/>
      <c r="J1624" s="82"/>
      <c r="K1624" s="340"/>
      <c r="L1624" s="344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4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>
      <c r="A1625" s="10" t="s">
        <v>768</v>
      </c>
      <c r="B1625" s="226"/>
      <c r="C1625" s="14"/>
      <c r="D1625" s="14"/>
      <c r="E1625" s="155"/>
      <c r="F1625" s="10"/>
      <c r="G1625" s="17"/>
      <c r="H1625" s="10"/>
      <c r="I1625" s="17"/>
      <c r="J1625" s="82"/>
      <c r="K1625" s="340"/>
      <c r="L1625" s="344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16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>
      <c r="A1626" s="10" t="s">
        <v>768</v>
      </c>
      <c r="B1626" s="226"/>
      <c r="C1626" s="14"/>
      <c r="D1626" s="14"/>
      <c r="E1626" s="155"/>
      <c r="F1626" s="10"/>
      <c r="G1626" s="17"/>
      <c r="H1626" s="10"/>
      <c r="I1626" s="17"/>
      <c r="J1626" s="82"/>
      <c r="K1626" s="340"/>
      <c r="L1626" s="344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16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>
      <c r="A1627" s="10" t="s">
        <v>768</v>
      </c>
      <c r="B1627" s="226"/>
      <c r="C1627" s="14"/>
      <c r="D1627" s="14"/>
      <c r="E1627" s="155"/>
      <c r="F1627" s="10"/>
      <c r="G1627" s="17"/>
      <c r="H1627" s="10"/>
      <c r="I1627" s="17"/>
      <c r="J1627" s="82"/>
      <c r="K1627" s="340"/>
      <c r="L1627" s="344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>
      <c r="A1628" s="10" t="s">
        <v>768</v>
      </c>
      <c r="B1628" s="226"/>
      <c r="C1628" s="14"/>
      <c r="D1628" s="14"/>
      <c r="E1628" s="155"/>
      <c r="F1628" s="10"/>
      <c r="G1628" s="17"/>
      <c r="H1628" s="10"/>
      <c r="I1628" s="17"/>
      <c r="J1628" s="82"/>
      <c r="K1628" s="340"/>
      <c r="L1628" s="344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16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>
      <c r="A1629" s="10" t="s">
        <v>768</v>
      </c>
      <c r="B1629" s="226"/>
      <c r="C1629" s="10"/>
      <c r="D1629" s="14"/>
      <c r="E1629" s="155"/>
      <c r="F1629" s="10"/>
      <c r="G1629" s="17"/>
      <c r="H1629" s="10"/>
      <c r="I1629" s="17"/>
      <c r="J1629" s="82"/>
      <c r="K1629" s="340"/>
      <c r="L1629" s="344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20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>
      <c r="A1630" s="10" t="s">
        <v>768</v>
      </c>
      <c r="B1630" s="226"/>
      <c r="C1630" s="10"/>
      <c r="D1630" s="14"/>
      <c r="E1630" s="155"/>
      <c r="F1630" s="10"/>
      <c r="G1630" s="17"/>
      <c r="H1630" s="10"/>
      <c r="I1630" s="17"/>
      <c r="J1630" s="82"/>
      <c r="K1630" s="340"/>
      <c r="L1630" s="344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20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>
      <c r="A1631" s="10" t="s">
        <v>768</v>
      </c>
      <c r="B1631" s="226"/>
      <c r="C1631" s="10"/>
      <c r="D1631" s="14"/>
      <c r="E1631" s="155"/>
      <c r="F1631" s="10"/>
      <c r="G1631" s="17"/>
      <c r="H1631" s="10"/>
      <c r="I1631" s="17"/>
      <c r="J1631" s="82"/>
      <c r="K1631" s="340"/>
      <c r="L1631" s="344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8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>
      <c r="A1632" s="10" t="s">
        <v>768</v>
      </c>
      <c r="B1632" s="226"/>
      <c r="C1632" s="10"/>
      <c r="D1632" s="14"/>
      <c r="E1632" s="155"/>
      <c r="F1632" s="10"/>
      <c r="G1632" s="17"/>
      <c r="H1632" s="10"/>
      <c r="I1632" s="17"/>
      <c r="J1632" s="82"/>
      <c r="K1632" s="340"/>
      <c r="L1632" s="344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8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>
      <c r="A1633" s="10" t="s">
        <v>768</v>
      </c>
      <c r="B1633" s="226"/>
      <c r="C1633" s="10"/>
      <c r="D1633" s="14"/>
      <c r="E1633" s="155"/>
      <c r="F1633" s="10"/>
      <c r="G1633" s="17"/>
      <c r="H1633" s="10"/>
      <c r="I1633" s="17"/>
      <c r="J1633" s="82"/>
      <c r="K1633" s="340"/>
      <c r="L1633" s="344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4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>
      <c r="A1634" s="17" t="s">
        <v>768</v>
      </c>
      <c r="B1634" s="227"/>
      <c r="C1634" s="17"/>
      <c r="D1634" s="18"/>
      <c r="E1634" s="235"/>
      <c r="F1634" s="17"/>
      <c r="G1634" s="17"/>
      <c r="H1634" s="17"/>
      <c r="I1634" s="17"/>
      <c r="J1634" s="83"/>
      <c r="K1634" s="340"/>
      <c r="L1634" s="344"/>
      <c r="M1634" s="89"/>
      <c r="N1634" s="17"/>
      <c r="O1634" s="25"/>
      <c r="P1634" s="91"/>
      <c r="Q1634" s="177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>
      <c r="A1635" s="10" t="s">
        <v>768</v>
      </c>
      <c r="B1635" s="226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5" t="s">
        <v>257</v>
      </c>
      <c r="F1635" s="10" t="s">
        <v>9</v>
      </c>
      <c r="G1635" s="17"/>
      <c r="H1635" s="10"/>
      <c r="I1635" s="17"/>
      <c r="J1635" s="82"/>
      <c r="K1635" s="341">
        <v>0.47260799999999997</v>
      </c>
      <c r="L1635" s="344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8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>
      <c r="A1636" s="10"/>
      <c r="B1636" s="226" t="s">
        <v>965</v>
      </c>
      <c r="C1636" s="10" t="s">
        <v>97</v>
      </c>
      <c r="D1636" s="14" t="str">
        <v>Black Aluminium Mesh 1.6mm</v>
      </c>
      <c r="E1636" s="155" t="s">
        <v>269</v>
      </c>
      <c r="F1636" s="11"/>
      <c r="G1636" s="17"/>
      <c r="H1636" s="10"/>
      <c r="I1636" s="17"/>
      <c r="J1636" s="82"/>
      <c r="K1636" s="340"/>
      <c r="L1636" s="344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8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>
      <c r="A1637" s="10"/>
      <c r="B1637" s="226" t="s">
        <v>965</v>
      </c>
      <c r="C1637" s="10" t="s">
        <v>97</v>
      </c>
      <c r="D1637" s="14" t="str">
        <v>Black Aluminium Mesh 1.8mm</v>
      </c>
      <c r="E1637" s="155"/>
      <c r="F1637" s="10"/>
      <c r="G1637" s="17"/>
      <c r="H1637" s="10"/>
      <c r="I1637" s="17"/>
      <c r="J1637" s="82"/>
      <c r="K1637" s="340"/>
      <c r="L1637" s="344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16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>
      <c r="A1638" s="10"/>
      <c r="B1638" s="226" t="s">
        <v>965</v>
      </c>
      <c r="C1638" s="10" t="s">
        <v>97</v>
      </c>
      <c r="D1638" s="14" t="str">
        <v>Black Stainless Steel Mesh 1.0mm</v>
      </c>
      <c r="E1638" s="155"/>
      <c r="F1638" s="10"/>
      <c r="G1638" s="17"/>
      <c r="H1638" s="10"/>
      <c r="I1638" s="17"/>
      <c r="J1638" s="82"/>
      <c r="K1638" s="340"/>
      <c r="L1638" s="344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80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>
      <c r="A1639" s="10"/>
      <c r="B1639" s="226" t="s">
        <v>965</v>
      </c>
      <c r="C1639" s="10" t="s">
        <v>97</v>
      </c>
      <c r="D1639" s="14" t="str">
        <v/>
      </c>
      <c r="E1639" s="155"/>
      <c r="F1639" s="10"/>
      <c r="G1639" s="17"/>
      <c r="H1639" s="10"/>
      <c r="I1639" s="17"/>
      <c r="J1639" s="82"/>
      <c r="K1639" s="340"/>
      <c r="L1639" s="344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16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>
      <c r="A1640" s="10"/>
      <c r="B1640" s="226" t="s">
        <v>965</v>
      </c>
      <c r="C1640" s="10" t="s">
        <v>97</v>
      </c>
      <c r="D1640" s="14"/>
      <c r="E1640" s="155"/>
      <c r="F1640" s="10"/>
      <c r="G1640" s="17"/>
      <c r="H1640" s="10"/>
      <c r="I1640" s="17"/>
      <c r="J1640" s="82"/>
      <c r="K1640" s="340"/>
      <c r="L1640" s="344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32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>
      <c r="A1641" s="10"/>
      <c r="B1641" s="226" t="s">
        <v>965</v>
      </c>
      <c r="C1641" s="10" t="s">
        <v>97</v>
      </c>
      <c r="D1641" s="14"/>
      <c r="E1641" s="155"/>
      <c r="F1641" s="10"/>
      <c r="G1641" s="17"/>
      <c r="H1641" s="10"/>
      <c r="I1641" s="17"/>
      <c r="J1641" s="82"/>
      <c r="K1641" s="340"/>
      <c r="L1641" s="344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>
      <c r="A1642" s="10"/>
      <c r="B1642" s="226" t="s">
        <v>965</v>
      </c>
      <c r="C1642" s="10" t="s">
        <v>97</v>
      </c>
      <c r="D1642" s="14"/>
      <c r="E1642" s="155"/>
      <c r="F1642" s="10"/>
      <c r="G1642" s="17"/>
      <c r="H1642" s="10"/>
      <c r="I1642" s="17"/>
      <c r="J1642" s="82"/>
      <c r="K1642" s="340"/>
      <c r="L1642" s="344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>
      <c r="A1643" s="10"/>
      <c r="B1643" s="226" t="s">
        <v>965</v>
      </c>
      <c r="C1643" s="10" t="s">
        <v>97</v>
      </c>
      <c r="D1643" s="14"/>
      <c r="E1643" s="155"/>
      <c r="F1643" s="10"/>
      <c r="G1643" s="17"/>
      <c r="H1643" s="10"/>
      <c r="I1643" s="17"/>
      <c r="J1643" s="82"/>
      <c r="K1643" s="340"/>
      <c r="L1643" s="344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Breezway 102mm Glass Infill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>
      <c r="A1644" s="10"/>
      <c r="B1644" s="226" t="s">
        <v>965</v>
      </c>
      <c r="C1644" s="10" t="s">
        <v>97</v>
      </c>
      <c r="D1644" s="14"/>
      <c r="E1644" s="155"/>
      <c r="F1644" s="10"/>
      <c r="G1644" s="17"/>
      <c r="H1644" s="10"/>
      <c r="I1644" s="17"/>
      <c r="J1644" s="82"/>
      <c r="K1644" s="340"/>
      <c r="L1644" s="344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>
      <c r="A1645" s="10"/>
      <c r="B1645" s="226" t="s">
        <v>965</v>
      </c>
      <c r="C1645" s="10" t="s">
        <v>97</v>
      </c>
      <c r="D1645" s="14"/>
      <c r="E1645" s="155"/>
      <c r="F1645" s="10"/>
      <c r="G1645" s="17"/>
      <c r="H1645" s="10"/>
      <c r="I1645" s="17"/>
      <c r="J1645" s="82"/>
      <c r="K1645" s="340"/>
      <c r="L1645" s="344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>
      <c r="A1646" s="10"/>
      <c r="B1646" s="226" t="s">
        <v>965</v>
      </c>
      <c r="C1646" s="10" t="s">
        <v>97</v>
      </c>
      <c r="D1646" s="14"/>
      <c r="E1646" s="155"/>
      <c r="F1646" s="10"/>
      <c r="G1646" s="17"/>
      <c r="H1646" s="10"/>
      <c r="I1646" s="17"/>
      <c r="J1646" s="82"/>
      <c r="K1646" s="340"/>
      <c r="L1646" s="344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>
      <c r="A1647" s="10"/>
      <c r="B1647" s="226" t="s">
        <v>965</v>
      </c>
      <c r="C1647" s="10" t="s">
        <v>97</v>
      </c>
      <c r="D1647" s="14"/>
      <c r="E1647" s="155"/>
      <c r="F1647" s="10"/>
      <c r="G1647" s="17"/>
      <c r="H1647" s="10"/>
      <c r="I1647" s="17"/>
      <c r="J1647" s="82"/>
      <c r="K1647" s="340"/>
      <c r="L1647" s="344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>
      <c r="A1648" s="10"/>
      <c r="B1648" s="226" t="s">
        <v>965</v>
      </c>
      <c r="C1648" s="10" t="s">
        <v>97</v>
      </c>
      <c r="D1648" s="14"/>
      <c r="E1648" s="155"/>
      <c r="F1648" s="10"/>
      <c r="G1648" s="17"/>
      <c r="H1648" s="10"/>
      <c r="I1648" s="17"/>
      <c r="J1648" s="82"/>
      <c r="K1648" s="340"/>
      <c r="L1648" s="344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>
      <c r="A1649" s="10"/>
      <c r="B1649" s="226" t="s">
        <v>965</v>
      </c>
      <c r="C1649" s="10" t="s">
        <v>97</v>
      </c>
      <c r="D1649" s="14"/>
      <c r="E1649" s="155"/>
      <c r="F1649" s="10"/>
      <c r="G1649" s="17"/>
      <c r="H1649" s="10"/>
      <c r="I1649" s="17"/>
      <c r="J1649" s="82"/>
      <c r="K1649" s="340"/>
      <c r="L1649" s="344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>
      <c r="A1650" s="10"/>
      <c r="B1650" s="226" t="s">
        <v>965</v>
      </c>
      <c r="C1650" s="10" t="s">
        <v>97</v>
      </c>
      <c r="D1650" s="14"/>
      <c r="E1650" s="155"/>
      <c r="F1650" s="10"/>
      <c r="G1650" s="17"/>
      <c r="H1650" s="10"/>
      <c r="I1650" s="17"/>
      <c r="J1650" s="82"/>
      <c r="K1650" s="340"/>
      <c r="L1650" s="344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>
      <c r="A1651" s="10"/>
      <c r="B1651" s="226" t="s">
        <v>965</v>
      </c>
      <c r="C1651" s="10"/>
      <c r="D1651" s="14"/>
      <c r="E1651" s="155"/>
      <c r="F1651" s="10"/>
      <c r="G1651" s="17"/>
      <c r="H1651" s="10"/>
      <c r="I1651" s="17"/>
      <c r="J1651" s="82"/>
      <c r="K1651" s="340"/>
      <c r="L1651" s="344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>
      <c r="A1652" s="10"/>
      <c r="B1652" s="226" t="s">
        <v>965</v>
      </c>
      <c r="C1652" s="10"/>
      <c r="D1652" s="14"/>
      <c r="E1652" s="155"/>
      <c r="F1652" s="10"/>
      <c r="G1652" s="17"/>
      <c r="H1652" s="10"/>
      <c r="I1652" s="17"/>
      <c r="J1652" s="82"/>
      <c r="K1652" s="340"/>
      <c r="L1652" s="344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>
      <c r="A1653" s="10"/>
      <c r="B1653" s="226" t="s">
        <v>965</v>
      </c>
      <c r="C1653" s="10"/>
      <c r="D1653" s="14"/>
      <c r="E1653" s="155"/>
      <c r="F1653" s="10"/>
      <c r="G1653" s="17"/>
      <c r="H1653" s="10"/>
      <c r="I1653" s="17"/>
      <c r="J1653" s="82"/>
      <c r="K1653" s="340"/>
      <c r="L1653" s="344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>
      <c r="A1654" s="10"/>
      <c r="B1654" s="226" t="s">
        <v>965</v>
      </c>
      <c r="C1654" s="10"/>
      <c r="D1654" s="14"/>
      <c r="E1654" s="155"/>
      <c r="F1654" s="10"/>
      <c r="G1654" s="17"/>
      <c r="H1654" s="10"/>
      <c r="I1654" s="17"/>
      <c r="J1654" s="82"/>
      <c r="K1654" s="340"/>
      <c r="L1654" s="344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>
      <c r="A1655" s="10"/>
      <c r="B1655" s="226" t="s">
        <v>965</v>
      </c>
      <c r="C1655" s="10"/>
      <c r="D1655" s="14"/>
      <c r="E1655" s="155"/>
      <c r="F1655" s="10"/>
      <c r="G1655" s="17"/>
      <c r="H1655" s="10"/>
      <c r="I1655" s="17"/>
      <c r="J1655" s="82"/>
      <c r="K1655" s="340"/>
      <c r="L1655" s="344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>
      <c r="A1656" s="10"/>
      <c r="B1656" s="226" t="s">
        <v>965</v>
      </c>
      <c r="C1656" s="10"/>
      <c r="D1656" s="14"/>
      <c r="E1656" s="155"/>
      <c r="F1656" s="10"/>
      <c r="G1656" s="17"/>
      <c r="H1656" s="10"/>
      <c r="I1656" s="17"/>
      <c r="J1656" s="82"/>
      <c r="K1656" s="340"/>
      <c r="L1656" s="344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>
      <c r="A1657" s="10"/>
      <c r="B1657" s="226" t="s">
        <v>965</v>
      </c>
      <c r="C1657" s="10"/>
      <c r="D1657" s="14"/>
      <c r="E1657" s="155"/>
      <c r="F1657" s="10"/>
      <c r="G1657" s="17"/>
      <c r="H1657" s="10"/>
      <c r="I1657" s="17"/>
      <c r="J1657" s="82"/>
      <c r="K1657" s="340"/>
      <c r="L1657" s="344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>
      <c r="A1658" s="10"/>
      <c r="B1658" s="226" t="s">
        <v>965</v>
      </c>
      <c r="C1658" s="10"/>
      <c r="D1658" s="14"/>
      <c r="E1658" s="155"/>
      <c r="F1658" s="10"/>
      <c r="G1658" s="17"/>
      <c r="H1658" s="10"/>
      <c r="I1658" s="17"/>
      <c r="J1658" s="82"/>
      <c r="K1658" s="340"/>
      <c r="L1658" s="344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>
      <c r="A1659" s="10"/>
      <c r="B1659" s="226" t="s">
        <v>965</v>
      </c>
      <c r="C1659" s="10"/>
      <c r="D1659" s="14"/>
      <c r="E1659" s="155"/>
      <c r="F1659" s="10"/>
      <c r="G1659" s="17"/>
      <c r="H1659" s="10"/>
      <c r="I1659" s="17"/>
      <c r="J1659" s="82"/>
      <c r="K1659" s="340"/>
      <c r="L1659" s="344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>
      <c r="A1660" s="10"/>
      <c r="B1660" s="226" t="s">
        <v>965</v>
      </c>
      <c r="C1660" s="10"/>
      <c r="D1660" s="14"/>
      <c r="E1660" s="155"/>
      <c r="F1660" s="10"/>
      <c r="G1660" s="17"/>
      <c r="H1660" s="10"/>
      <c r="I1660" s="17"/>
      <c r="J1660" s="82"/>
      <c r="K1660" s="340"/>
      <c r="L1660" s="344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>
      <c r="A1661" s="10"/>
      <c r="B1661" s="226" t="s">
        <v>965</v>
      </c>
      <c r="C1661" s="10"/>
      <c r="D1661" s="14"/>
      <c r="E1661" s="155"/>
      <c r="F1661" s="10"/>
      <c r="G1661" s="17"/>
      <c r="H1661" s="10"/>
      <c r="I1661" s="17"/>
      <c r="J1661" s="82"/>
      <c r="K1661" s="340"/>
      <c r="L1661" s="344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>
      <c r="A1662" s="10"/>
      <c r="B1662" s="226" t="s">
        <v>965</v>
      </c>
      <c r="C1662" s="10"/>
      <c r="D1662" s="14"/>
      <c r="E1662" s="155"/>
      <c r="F1662" s="10"/>
      <c r="G1662" s="17"/>
      <c r="H1662" s="10"/>
      <c r="I1662" s="17"/>
      <c r="J1662" s="82"/>
      <c r="K1662" s="340"/>
      <c r="L1662" s="344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>
      <c r="A1663" s="10"/>
      <c r="B1663" s="226" t="s">
        <v>965</v>
      </c>
      <c r="C1663" s="10"/>
      <c r="D1663" s="14"/>
      <c r="E1663" s="155"/>
      <c r="F1663" s="10"/>
      <c r="G1663" s="17"/>
      <c r="H1663" s="10"/>
      <c r="I1663" s="17"/>
      <c r="J1663" s="82"/>
      <c r="K1663" s="340"/>
      <c r="L1663" s="344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>
      <c r="A1664" s="10"/>
      <c r="B1664" s="226" t="s">
        <v>965</v>
      </c>
      <c r="C1664" s="10"/>
      <c r="D1664" s="14"/>
      <c r="E1664" s="155"/>
      <c r="F1664" s="10"/>
      <c r="G1664" s="17"/>
      <c r="H1664" s="10"/>
      <c r="I1664" s="17"/>
      <c r="J1664" s="82"/>
      <c r="K1664" s="340"/>
      <c r="L1664" s="344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P/C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>
      <c r="A1665" s="10"/>
      <c r="B1665" s="226" t="s">
        <v>965</v>
      </c>
      <c r="C1665" s="10"/>
      <c r="D1665" s="14"/>
      <c r="E1665" s="155"/>
      <c r="F1665" s="10"/>
      <c r="G1665" s="17"/>
      <c r="H1665" s="10"/>
      <c r="I1665" s="17"/>
      <c r="J1665" s="82"/>
      <c r="K1665" s="340"/>
      <c r="L1665" s="344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32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>
      <c r="A1666" s="10"/>
      <c r="B1666" s="226" t="s">
        <v>965</v>
      </c>
      <c r="C1666" s="10"/>
      <c r="D1666" s="14"/>
      <c r="E1666" s="155"/>
      <c r="F1666" s="10"/>
      <c r="G1666" s="17"/>
      <c r="H1666" s="10"/>
      <c r="I1666" s="17"/>
      <c r="J1666" s="82"/>
      <c r="K1666" s="340"/>
      <c r="L1666" s="344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80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>
      <c r="A1667" s="10"/>
      <c r="B1667" s="226" t="s">
        <v>965</v>
      </c>
      <c r="C1667" s="10"/>
      <c r="D1667" s="14"/>
      <c r="E1667" s="155"/>
      <c r="F1667" s="10"/>
      <c r="G1667" s="17"/>
      <c r="H1667" s="10"/>
      <c r="I1667" s="17"/>
      <c r="J1667" s="82"/>
      <c r="K1667" s="340"/>
      <c r="L1667" s="344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160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>
      <c r="A1668" s="10"/>
      <c r="B1668" s="226" t="s">
        <v>965</v>
      </c>
      <c r="C1668" s="10"/>
      <c r="D1668" s="14"/>
      <c r="E1668" s="155"/>
      <c r="F1668" s="10"/>
      <c r="G1668" s="17"/>
      <c r="H1668" s="10"/>
      <c r="I1668" s="17"/>
      <c r="J1668" s="82"/>
      <c r="K1668" s="340"/>
      <c r="L1668" s="344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>
      <c r="A1669" s="10"/>
      <c r="B1669" s="226" t="s">
        <v>965</v>
      </c>
      <c r="C1669" s="10"/>
      <c r="D1669" s="14"/>
      <c r="E1669" s="155"/>
      <c r="F1669" s="10"/>
      <c r="G1669" s="17"/>
      <c r="H1669" s="10"/>
      <c r="I1669" s="17"/>
      <c r="J1669" s="82"/>
      <c r="K1669" s="340"/>
      <c r="L1669" s="344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>
      <c r="A1670" s="10"/>
      <c r="B1670" s="226" t="s">
        <v>965</v>
      </c>
      <c r="C1670" s="10"/>
      <c r="D1670" s="14"/>
      <c r="E1670" s="155"/>
      <c r="F1670" s="10"/>
      <c r="G1670" s="17"/>
      <c r="H1670" s="10"/>
      <c r="I1670" s="17"/>
      <c r="J1670" s="82"/>
      <c r="K1670" s="340"/>
      <c r="L1670" s="344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2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>
      <c r="A1671" s="10"/>
      <c r="B1671" s="226" t="s">
        <v>965</v>
      </c>
      <c r="C1671" s="10"/>
      <c r="D1671" s="14"/>
      <c r="E1671" s="155"/>
      <c r="F1671" s="10"/>
      <c r="G1671" s="17"/>
      <c r="H1671" s="10"/>
      <c r="I1671" s="17"/>
      <c r="J1671" s="82"/>
      <c r="K1671" s="340"/>
      <c r="L1671" s="344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16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>
      <c r="A1672" s="10"/>
      <c r="B1672" s="226" t="s">
        <v>965</v>
      </c>
      <c r="C1672" s="10"/>
      <c r="D1672" s="14"/>
      <c r="E1672" s="155"/>
      <c r="F1672" s="10"/>
      <c r="G1672" s="17"/>
      <c r="H1672" s="10"/>
      <c r="I1672" s="17"/>
      <c r="J1672" s="82"/>
      <c r="K1672" s="340"/>
      <c r="L1672" s="344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2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>
      <c r="A1673" s="10"/>
      <c r="B1673" s="226" t="s">
        <v>965</v>
      </c>
      <c r="C1673" s="10"/>
      <c r="D1673" s="14"/>
      <c r="E1673" s="155"/>
      <c r="F1673" s="10"/>
      <c r="G1673" s="17"/>
      <c r="H1673" s="10"/>
      <c r="I1673" s="17"/>
      <c r="J1673" s="82"/>
      <c r="K1673" s="340"/>
      <c r="L1673" s="344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14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>
      <c r="A1674" s="10"/>
      <c r="B1674" s="226" t="s">
        <v>965</v>
      </c>
      <c r="C1674" s="10"/>
      <c r="D1674" s="14"/>
      <c r="E1674" s="155"/>
      <c r="F1674" s="10"/>
      <c r="G1674" s="17"/>
      <c r="H1674" s="10"/>
      <c r="I1674" s="17"/>
      <c r="J1674" s="82"/>
      <c r="K1674" s="340"/>
      <c r="L1674" s="344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2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>
      <c r="A1675" s="10"/>
      <c r="B1675" s="226" t="s">
        <v>965</v>
      </c>
      <c r="C1675" s="10"/>
      <c r="D1675" s="14"/>
      <c r="E1675" s="155"/>
      <c r="F1675" s="10"/>
      <c r="G1675" s="17"/>
      <c r="H1675" s="10"/>
      <c r="I1675" s="17"/>
      <c r="J1675" s="82"/>
      <c r="K1675" s="340"/>
      <c r="L1675" s="344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4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>
      <c r="A1676" s="10"/>
      <c r="B1676" s="226" t="s">
        <v>965</v>
      </c>
      <c r="C1676" s="10"/>
      <c r="D1676" s="14"/>
      <c r="E1676" s="155"/>
      <c r="F1676" s="10"/>
      <c r="G1676" s="17"/>
      <c r="H1676" s="10"/>
      <c r="I1676" s="17"/>
      <c r="J1676" s="82"/>
      <c r="K1676" s="340"/>
      <c r="L1676" s="344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>
      <c r="A1677" s="10"/>
      <c r="B1677" s="226" t="s">
        <v>965</v>
      </c>
      <c r="C1677" s="10"/>
      <c r="D1677" s="14"/>
      <c r="E1677" s="155"/>
      <c r="F1677" s="10"/>
      <c r="G1677" s="17"/>
      <c r="H1677" s="10"/>
      <c r="I1677" s="17"/>
      <c r="J1677" s="82"/>
      <c r="K1677" s="340"/>
      <c r="L1677" s="344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>
      <c r="A1678" s="10"/>
      <c r="B1678" s="226" t="s">
        <v>965</v>
      </c>
      <c r="C1678" s="10"/>
      <c r="D1678" s="14"/>
      <c r="E1678" s="155"/>
      <c r="F1678" s="10"/>
      <c r="G1678" s="17"/>
      <c r="H1678" s="10"/>
      <c r="I1678" s="17"/>
      <c r="J1678" s="82"/>
      <c r="K1678" s="340"/>
      <c r="L1678" s="344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>
      <c r="A1679" s="10"/>
      <c r="B1679" s="226" t="s">
        <v>965</v>
      </c>
      <c r="C1679" s="10"/>
      <c r="D1679" s="14"/>
      <c r="E1679" s="155"/>
      <c r="F1679" s="10"/>
      <c r="G1679" s="17"/>
      <c r="H1679" s="10"/>
      <c r="I1679" s="17"/>
      <c r="J1679" s="82"/>
      <c r="K1679" s="340"/>
      <c r="L1679" s="344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>
      <c r="A1680" s="10"/>
      <c r="B1680" s="226" t="s">
        <v>965</v>
      </c>
      <c r="C1680" s="10"/>
      <c r="D1680" s="14"/>
      <c r="E1680" s="155"/>
      <c r="F1680" s="10"/>
      <c r="G1680" s="17"/>
      <c r="H1680" s="10"/>
      <c r="I1680" s="17"/>
      <c r="J1680" s="82"/>
      <c r="K1680" s="340"/>
      <c r="L1680" s="344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>
      <c r="A1681" s="10"/>
      <c r="B1681" s="226" t="s">
        <v>965</v>
      </c>
      <c r="C1681" s="10"/>
      <c r="D1681" s="14"/>
      <c r="E1681" s="155"/>
      <c r="F1681" s="10"/>
      <c r="G1681" s="17"/>
      <c r="H1681" s="10"/>
      <c r="I1681" s="17"/>
      <c r="J1681" s="82"/>
      <c r="K1681" s="340"/>
      <c r="L1681" s="344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>
      <c r="A1682" s="10"/>
      <c r="B1682" s="226" t="s">
        <v>965</v>
      </c>
      <c r="C1682" s="10"/>
      <c r="D1682" s="14"/>
      <c r="E1682" s="155"/>
      <c r="F1682" s="10"/>
      <c r="G1682" s="17"/>
      <c r="H1682" s="10"/>
      <c r="I1682" s="17"/>
      <c r="J1682" s="82"/>
      <c r="K1682" s="340"/>
      <c r="L1682" s="344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>
      <c r="A1683" s="17" t="s">
        <v>768</v>
      </c>
      <c r="B1683" s="227"/>
      <c r="C1683" s="17"/>
      <c r="D1683" s="18"/>
      <c r="E1683" s="235"/>
      <c r="F1683" s="17"/>
      <c r="G1683" s="17"/>
      <c r="H1683" s="17"/>
      <c r="I1683" s="17"/>
      <c r="J1683" s="83"/>
      <c r="K1683" s="340"/>
      <c r="L1683" s="344"/>
      <c r="M1683" s="89"/>
      <c r="N1683" s="17"/>
      <c r="O1683" s="25"/>
      <c r="P1683" s="91"/>
      <c r="Q1683" s="177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>
      <c r="A1684" s="10" t="s">
        <v>768</v>
      </c>
      <c r="B1684" s="226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5" t="s">
        <v>257</v>
      </c>
      <c r="F1684" s="10" t="s">
        <v>9</v>
      </c>
      <c r="G1684" s="17"/>
      <c r="H1684" s="10"/>
      <c r="I1684" s="17"/>
      <c r="J1684" s="82"/>
      <c r="K1684" s="341">
        <v>0.47260799999999997</v>
      </c>
      <c r="L1684" s="344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24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>
      <c r="A1685" s="10" t="s">
        <v>768</v>
      </c>
      <c r="B1685" s="226" t="s">
        <v>966</v>
      </c>
      <c r="C1685" s="10" t="s">
        <v>97</v>
      </c>
      <c r="D1685" s="14" t="str">
        <v>Black Aluminium Mesh 1.6mm</v>
      </c>
      <c r="E1685" s="155" t="s">
        <v>269</v>
      </c>
      <c r="F1685" s="11"/>
      <c r="G1685" s="17"/>
      <c r="H1685" s="10"/>
      <c r="I1685" s="17"/>
      <c r="J1685" s="82"/>
      <c r="K1685" s="340"/>
      <c r="L1685" s="344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128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>
      <c r="A1686" s="10" t="s">
        <v>768</v>
      </c>
      <c r="B1686" s="226" t="s">
        <v>966</v>
      </c>
      <c r="C1686" s="10" t="s">
        <v>97</v>
      </c>
      <c r="D1686" s="14" t="str">
        <v>Black Aluminium Mesh 1.8mm</v>
      </c>
      <c r="E1686" s="155"/>
      <c r="F1686" s="10"/>
      <c r="G1686" s="17"/>
      <c r="H1686" s="10"/>
      <c r="I1686" s="17"/>
      <c r="J1686" s="82"/>
      <c r="K1686" s="340"/>
      <c r="L1686" s="344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8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>
      <c r="A1687" s="10" t="s">
        <v>768</v>
      </c>
      <c r="B1687" s="226" t="s">
        <v>966</v>
      </c>
      <c r="C1687" s="10" t="s">
        <v>97</v>
      </c>
      <c r="D1687" s="14" t="str">
        <v>Black Stainless Steel Mesh 1.0mm</v>
      </c>
      <c r="E1687" s="155"/>
      <c r="F1687" s="10"/>
      <c r="G1687" s="17"/>
      <c r="H1687" s="10"/>
      <c r="I1687" s="17"/>
      <c r="J1687" s="82"/>
      <c r="K1687" s="340"/>
      <c r="L1687" s="344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32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>
      <c r="A1688" s="10" t="s">
        <v>768</v>
      </c>
      <c r="B1688" s="226" t="s">
        <v>966</v>
      </c>
      <c r="C1688" s="10" t="s">
        <v>97</v>
      </c>
      <c r="D1688" s="14" t="str">
        <v/>
      </c>
      <c r="E1688" s="155"/>
      <c r="F1688" s="10"/>
      <c r="G1688" s="17"/>
      <c r="H1688" s="10"/>
      <c r="I1688" s="17"/>
      <c r="J1688" s="82"/>
      <c r="K1688" s="340"/>
      <c r="L1688" s="344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>
      <c r="A1689" s="10" t="s">
        <v>768</v>
      </c>
      <c r="B1689" s="226" t="s">
        <v>966</v>
      </c>
      <c r="C1689" s="10" t="s">
        <v>97</v>
      </c>
      <c r="D1689" s="14" t="str">
        <v/>
      </c>
      <c r="E1689" s="155"/>
      <c r="F1689" s="10"/>
      <c r="G1689" s="17"/>
      <c r="H1689" s="10"/>
      <c r="I1689" s="17"/>
      <c r="J1689" s="82"/>
      <c r="K1689" s="340"/>
      <c r="L1689" s="344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>
      <c r="A1690" s="10" t="s">
        <v>768</v>
      </c>
      <c r="B1690" s="226" t="s">
        <v>966</v>
      </c>
      <c r="C1690" s="10" t="s">
        <v>97</v>
      </c>
      <c r="D1690" s="14" t="str">
        <v/>
      </c>
      <c r="E1690" s="155"/>
      <c r="F1690" s="10"/>
      <c r="G1690" s="17"/>
      <c r="H1690" s="10"/>
      <c r="I1690" s="17"/>
      <c r="J1690" s="82"/>
      <c r="K1690" s="340"/>
      <c r="L1690" s="344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Breezway 102mm Glass Infill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>
      <c r="A1691" s="10" t="s">
        <v>768</v>
      </c>
      <c r="B1691" s="226" t="s">
        <v>966</v>
      </c>
      <c r="C1691" s="10" t="s">
        <v>97</v>
      </c>
      <c r="D1691" s="14" t="str">
        <v/>
      </c>
      <c r="E1691" s="155"/>
      <c r="F1691" s="10"/>
      <c r="G1691" s="17"/>
      <c r="H1691" s="10"/>
      <c r="I1691" s="17"/>
      <c r="J1691" s="82"/>
      <c r="K1691" s="340"/>
      <c r="L1691" s="344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>
      <c r="A1692" s="10" t="s">
        <v>768</v>
      </c>
      <c r="B1692" s="226" t="s">
        <v>966</v>
      </c>
      <c r="C1692" s="10" t="s">
        <v>97</v>
      </c>
      <c r="D1692" s="14" t="str">
        <v/>
      </c>
      <c r="E1692" s="155"/>
      <c r="F1692" s="10"/>
      <c r="G1692" s="17"/>
      <c r="H1692" s="10"/>
      <c r="I1692" s="17"/>
      <c r="J1692" s="82"/>
      <c r="K1692" s="340"/>
      <c r="L1692" s="344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>
      <c r="A1693" s="10" t="s">
        <v>768</v>
      </c>
      <c r="B1693" s="226" t="s">
        <v>966</v>
      </c>
      <c r="C1693" s="10" t="s">
        <v>97</v>
      </c>
      <c r="D1693" s="14" t="str">
        <v/>
      </c>
      <c r="E1693" s="155"/>
      <c r="F1693" s="10"/>
      <c r="G1693" s="17"/>
      <c r="H1693" s="10"/>
      <c r="I1693" s="17"/>
      <c r="J1693" s="82"/>
      <c r="K1693" s="340"/>
      <c r="L1693" s="344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>
      <c r="A1694" s="10" t="s">
        <v>768</v>
      </c>
      <c r="B1694" s="226" t="s">
        <v>966</v>
      </c>
      <c r="C1694" s="10" t="s">
        <v>97</v>
      </c>
      <c r="D1694" s="14"/>
      <c r="E1694" s="155"/>
      <c r="F1694" s="10"/>
      <c r="G1694" s="17"/>
      <c r="H1694" s="10"/>
      <c r="I1694" s="17"/>
      <c r="J1694" s="82"/>
      <c r="K1694" s="340"/>
      <c r="L1694" s="344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>
      <c r="A1695" s="10" t="s">
        <v>768</v>
      </c>
      <c r="B1695" s="226" t="s">
        <v>966</v>
      </c>
      <c r="C1695" s="10" t="s">
        <v>97</v>
      </c>
      <c r="D1695" s="14"/>
      <c r="E1695" s="155"/>
      <c r="F1695" s="10"/>
      <c r="G1695" s="17"/>
      <c r="H1695" s="10"/>
      <c r="I1695" s="17"/>
      <c r="J1695" s="82"/>
      <c r="K1695" s="340"/>
      <c r="L1695" s="344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>
      <c r="A1696" s="10" t="s">
        <v>768</v>
      </c>
      <c r="B1696" s="226" t="s">
        <v>966</v>
      </c>
      <c r="C1696" s="10" t="s">
        <v>97</v>
      </c>
      <c r="D1696" s="14"/>
      <c r="E1696" s="155"/>
      <c r="F1696" s="10"/>
      <c r="G1696" s="17"/>
      <c r="H1696" s="10"/>
      <c r="I1696" s="17"/>
      <c r="J1696" s="82"/>
      <c r="K1696" s="340"/>
      <c r="L1696" s="344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>
      <c r="A1697" s="10" t="s">
        <v>768</v>
      </c>
      <c r="B1697" s="226" t="s">
        <v>966</v>
      </c>
      <c r="C1697" s="10" t="s">
        <v>97</v>
      </c>
      <c r="D1697" s="14"/>
      <c r="E1697" s="155"/>
      <c r="F1697" s="10"/>
      <c r="G1697" s="17"/>
      <c r="H1697" s="10"/>
      <c r="I1697" s="17"/>
      <c r="J1697" s="82"/>
      <c r="K1697" s="340"/>
      <c r="L1697" s="344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>
      <c r="A1698" s="10" t="s">
        <v>768</v>
      </c>
      <c r="B1698" s="226" t="s">
        <v>966</v>
      </c>
      <c r="C1698" s="10" t="s">
        <v>97</v>
      </c>
      <c r="D1698" s="14"/>
      <c r="E1698" s="155"/>
      <c r="F1698" s="10"/>
      <c r="G1698" s="17"/>
      <c r="H1698" s="10"/>
      <c r="I1698" s="17"/>
      <c r="J1698" s="82"/>
      <c r="K1698" s="340"/>
      <c r="L1698" s="344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>
      <c r="A1699" s="10" t="s">
        <v>768</v>
      </c>
      <c r="B1699" s="226" t="s">
        <v>966</v>
      </c>
      <c r="C1699" s="10" t="s">
        <v>97</v>
      </c>
      <c r="D1699" s="14"/>
      <c r="E1699" s="155"/>
      <c r="F1699" s="10"/>
      <c r="G1699" s="17"/>
      <c r="H1699" s="10"/>
      <c r="I1699" s="17"/>
      <c r="J1699" s="82"/>
      <c r="K1699" s="340"/>
      <c r="L1699" s="344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>
      <c r="A1700" s="10" t="s">
        <v>768</v>
      </c>
      <c r="B1700" s="226" t="s">
        <v>966</v>
      </c>
      <c r="C1700" s="10"/>
      <c r="D1700" s="14"/>
      <c r="E1700" s="155"/>
      <c r="F1700" s="10"/>
      <c r="G1700" s="17"/>
      <c r="H1700" s="10"/>
      <c r="I1700" s="17"/>
      <c r="J1700" s="82"/>
      <c r="K1700" s="340"/>
      <c r="L1700" s="344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>
      <c r="A1701" s="10" t="s">
        <v>768</v>
      </c>
      <c r="B1701" s="226" t="s">
        <v>966</v>
      </c>
      <c r="C1701" s="10"/>
      <c r="D1701" s="14"/>
      <c r="E1701" s="155"/>
      <c r="F1701" s="10"/>
      <c r="G1701" s="17"/>
      <c r="H1701" s="10"/>
      <c r="I1701" s="17"/>
      <c r="J1701" s="82"/>
      <c r="K1701" s="340"/>
      <c r="L1701" s="344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>
      <c r="A1702" s="10" t="s">
        <v>768</v>
      </c>
      <c r="B1702" s="226" t="s">
        <v>966</v>
      </c>
      <c r="C1702" s="10"/>
      <c r="D1702" s="14"/>
      <c r="E1702" s="155"/>
      <c r="F1702" s="10"/>
      <c r="G1702" s="17"/>
      <c r="H1702" s="10"/>
      <c r="I1702" s="17"/>
      <c r="J1702" s="82"/>
      <c r="K1702" s="340"/>
      <c r="L1702" s="344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24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>
      <c r="A1703" s="10" t="s">
        <v>768</v>
      </c>
      <c r="B1703" s="226" t="s">
        <v>966</v>
      </c>
      <c r="C1703" s="10"/>
      <c r="D1703" s="14"/>
      <c r="E1703" s="155"/>
      <c r="F1703" s="10"/>
      <c r="G1703" s="17"/>
      <c r="H1703" s="10"/>
      <c r="I1703" s="17"/>
      <c r="J1703" s="82"/>
      <c r="K1703" s="340"/>
      <c r="L1703" s="344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256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>
      <c r="A1704" s="10" t="s">
        <v>768</v>
      </c>
      <c r="B1704" s="226" t="s">
        <v>966</v>
      </c>
      <c r="C1704" s="10"/>
      <c r="D1704" s="14"/>
      <c r="E1704" s="155"/>
      <c r="F1704" s="10"/>
      <c r="G1704" s="17"/>
      <c r="H1704" s="10"/>
      <c r="I1704" s="17"/>
      <c r="J1704" s="82"/>
      <c r="K1704" s="340"/>
      <c r="L1704" s="344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>
      <c r="A1705" s="10" t="s">
        <v>768</v>
      </c>
      <c r="B1705" s="226" t="s">
        <v>966</v>
      </c>
      <c r="C1705" s="10"/>
      <c r="D1705" s="14"/>
      <c r="E1705" s="155"/>
      <c r="F1705" s="10"/>
      <c r="G1705" s="17"/>
      <c r="H1705" s="10"/>
      <c r="I1705" s="17"/>
      <c r="J1705" s="82"/>
      <c r="K1705" s="340"/>
      <c r="L1705" s="344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>
      <c r="A1706" s="10" t="s">
        <v>768</v>
      </c>
      <c r="B1706" s="226" t="s">
        <v>966</v>
      </c>
      <c r="C1706" s="10"/>
      <c r="D1706" s="14"/>
      <c r="E1706" s="155"/>
      <c r="F1706" s="10"/>
      <c r="G1706" s="17"/>
      <c r="H1706" s="10"/>
      <c r="I1706" s="17"/>
      <c r="J1706" s="82"/>
      <c r="K1706" s="340"/>
      <c r="L1706" s="344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16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>
      <c r="A1707" s="10" t="s">
        <v>768</v>
      </c>
      <c r="B1707" s="226" t="s">
        <v>966</v>
      </c>
      <c r="C1707" s="10"/>
      <c r="D1707" s="14"/>
      <c r="E1707" s="155"/>
      <c r="F1707" s="10"/>
      <c r="G1707" s="17"/>
      <c r="H1707" s="10"/>
      <c r="I1707" s="17"/>
      <c r="J1707" s="82"/>
      <c r="K1707" s="340"/>
      <c r="L1707" s="344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20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>
      <c r="A1708" s="10" t="s">
        <v>768</v>
      </c>
      <c r="B1708" s="226" t="s">
        <v>966</v>
      </c>
      <c r="C1708" s="10"/>
      <c r="D1708" s="14"/>
      <c r="E1708" s="155"/>
      <c r="F1708" s="10"/>
      <c r="G1708" s="17"/>
      <c r="H1708" s="10"/>
      <c r="I1708" s="17"/>
      <c r="J1708" s="82"/>
      <c r="K1708" s="340"/>
      <c r="L1708" s="344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3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>
      <c r="A1709" s="10" t="s">
        <v>768</v>
      </c>
      <c r="B1709" s="226" t="s">
        <v>966</v>
      </c>
      <c r="C1709" s="10"/>
      <c r="D1709" s="14"/>
      <c r="E1709" s="155"/>
      <c r="F1709" s="10"/>
      <c r="G1709" s="17"/>
      <c r="H1709" s="10"/>
      <c r="I1709" s="17"/>
      <c r="J1709" s="82"/>
      <c r="K1709" s="340"/>
      <c r="L1709" s="344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4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>
      <c r="A1710" s="10" t="s">
        <v>768</v>
      </c>
      <c r="B1710" s="226" t="s">
        <v>966</v>
      </c>
      <c r="C1710" s="10"/>
      <c r="D1710" s="14"/>
      <c r="E1710" s="155"/>
      <c r="F1710" s="10"/>
      <c r="G1710" s="17"/>
      <c r="H1710" s="10"/>
      <c r="I1710" s="17"/>
      <c r="J1710" s="82"/>
      <c r="K1710" s="340"/>
      <c r="L1710" s="344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8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>
      <c r="A1711" s="10" t="s">
        <v>768</v>
      </c>
      <c r="B1711" s="226" t="s">
        <v>966</v>
      </c>
      <c r="C1711" s="10"/>
      <c r="D1711" s="14"/>
      <c r="E1711" s="155"/>
      <c r="F1711" s="10"/>
      <c r="G1711" s="17"/>
      <c r="H1711" s="10"/>
      <c r="I1711" s="17"/>
      <c r="J1711" s="82"/>
      <c r="K1711" s="340"/>
      <c r="L1711" s="344"/>
      <c r="M1711" s="88" t="s">
        <v>117</v>
      </c>
      <c r="N1711" s="10" t="s">
        <v>176</v>
      </c>
      <c r="O1711" s="22" cm="1">
        <f t="array" ref="O1711">SUMPRODUCT( IFERROR(Q1733:Q1750*O1733:O1750, 0) )</f>
        <v>4946.8799999999992</v>
      </c>
      <c r="P1711" s="14" t="str">
        <f>IF(Enginuity!$A$19="","", "Dual Security Door Insert c/w SS Mesh + " &amp; Enginuity!$A$19)</f>
        <v>Dual Security Door Insert c/w SS Mesh + P/C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>
      <c r="A1712" s="10" t="s">
        <v>768</v>
      </c>
      <c r="B1712" s="226" t="s">
        <v>966</v>
      </c>
      <c r="C1712" s="10"/>
      <c r="D1712" s="14"/>
      <c r="E1712" s="155"/>
      <c r="F1712" s="10"/>
      <c r="G1712" s="17"/>
      <c r="H1712" s="10"/>
      <c r="I1712" s="17"/>
      <c r="J1712" s="82"/>
      <c r="K1712" s="340"/>
      <c r="L1712" s="344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>
      <c r="A1713" s="10" t="s">
        <v>768</v>
      </c>
      <c r="B1713" s="226" t="s">
        <v>966</v>
      </c>
      <c r="C1713" s="10"/>
      <c r="D1713" s="14"/>
      <c r="E1713" s="155"/>
      <c r="F1713" s="10"/>
      <c r="G1713" s="17"/>
      <c r="H1713" s="10"/>
      <c r="I1713" s="17"/>
      <c r="J1713" s="82"/>
      <c r="K1713" s="340"/>
      <c r="L1713" s="344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>
      <c r="A1714" s="10" t="s">
        <v>768</v>
      </c>
      <c r="B1714" s="226" t="s">
        <v>966</v>
      </c>
      <c r="C1714" s="10"/>
      <c r="D1714" s="14"/>
      <c r="E1714" s="155"/>
      <c r="F1714" s="10"/>
      <c r="G1714" s="17"/>
      <c r="H1714" s="10"/>
      <c r="I1714" s="17"/>
      <c r="J1714" s="82"/>
      <c r="K1714" s="340"/>
      <c r="L1714" s="344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>
      <c r="A1715" s="10" t="s">
        <v>768</v>
      </c>
      <c r="B1715" s="226" t="s">
        <v>966</v>
      </c>
      <c r="C1715" s="10"/>
      <c r="D1715" s="14"/>
      <c r="E1715" s="155"/>
      <c r="F1715" s="10"/>
      <c r="G1715" s="17"/>
      <c r="H1715" s="10"/>
      <c r="I1715" s="17"/>
      <c r="J1715" s="82"/>
      <c r="K1715" s="340"/>
      <c r="L1715" s="344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>
      <c r="A1716" s="10" t="s">
        <v>768</v>
      </c>
      <c r="B1716" s="226" t="s">
        <v>966</v>
      </c>
      <c r="C1716" s="10"/>
      <c r="D1716" s="14"/>
      <c r="E1716" s="155"/>
      <c r="F1716" s="10"/>
      <c r="G1716" s="17"/>
      <c r="H1716" s="10"/>
      <c r="I1716" s="17"/>
      <c r="J1716" s="82"/>
      <c r="K1716" s="340"/>
      <c r="L1716" s="344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>
      <c r="A1717" s="10" t="s">
        <v>768</v>
      </c>
      <c r="B1717" s="226" t="s">
        <v>966</v>
      </c>
      <c r="C1717" s="10"/>
      <c r="D1717" s="14"/>
      <c r="E1717" s="155"/>
      <c r="F1717" s="10"/>
      <c r="G1717" s="17"/>
      <c r="H1717" s="10"/>
      <c r="I1717" s="17"/>
      <c r="J1717" s="82"/>
      <c r="K1717" s="340"/>
      <c r="L1717" s="344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>
      <c r="A1718" s="10" t="s">
        <v>768</v>
      </c>
      <c r="B1718" s="226" t="s">
        <v>966</v>
      </c>
      <c r="C1718" s="10"/>
      <c r="D1718" s="14"/>
      <c r="E1718" s="155"/>
      <c r="F1718" s="10"/>
      <c r="G1718" s="17"/>
      <c r="H1718" s="10"/>
      <c r="I1718" s="17"/>
      <c r="J1718" s="82"/>
      <c r="K1718" s="340"/>
      <c r="L1718" s="344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>
      <c r="A1719" s="10" t="s">
        <v>768</v>
      </c>
      <c r="B1719" s="226" t="s">
        <v>966</v>
      </c>
      <c r="C1719" s="10"/>
      <c r="D1719" s="14"/>
      <c r="E1719" s="155"/>
      <c r="F1719" s="10"/>
      <c r="G1719" s="17"/>
      <c r="H1719" s="10"/>
      <c r="I1719" s="17"/>
      <c r="J1719" s="82"/>
      <c r="K1719" s="340"/>
      <c r="L1719" s="344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>
      <c r="A1720" s="10" t="s">
        <v>768</v>
      </c>
      <c r="B1720" s="226" t="s">
        <v>966</v>
      </c>
      <c r="C1720" s="10"/>
      <c r="D1720" s="14"/>
      <c r="E1720" s="155"/>
      <c r="F1720" s="10"/>
      <c r="G1720" s="17"/>
      <c r="H1720" s="10"/>
      <c r="I1720" s="17"/>
      <c r="J1720" s="82"/>
      <c r="K1720" s="340"/>
      <c r="L1720" s="344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>
      <c r="A1721" s="10" t="s">
        <v>768</v>
      </c>
      <c r="B1721" s="226" t="s">
        <v>966</v>
      </c>
      <c r="C1721" s="10"/>
      <c r="D1721" s="14"/>
      <c r="E1721" s="155"/>
      <c r="F1721" s="10"/>
      <c r="G1721" s="17"/>
      <c r="H1721" s="10"/>
      <c r="I1721" s="17"/>
      <c r="J1721" s="82"/>
      <c r="K1721" s="340"/>
      <c r="L1721" s="344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>
      <c r="A1722" s="10" t="s">
        <v>768</v>
      </c>
      <c r="B1722" s="226" t="s">
        <v>966</v>
      </c>
      <c r="C1722" s="10"/>
      <c r="D1722" s="14"/>
      <c r="E1722" s="155"/>
      <c r="F1722" s="10"/>
      <c r="G1722" s="17"/>
      <c r="H1722" s="10"/>
      <c r="I1722" s="17"/>
      <c r="J1722" s="82"/>
      <c r="K1722" s="340"/>
      <c r="L1722" s="344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>
      <c r="A1723" s="10" t="s">
        <v>768</v>
      </c>
      <c r="B1723" s="226" t="s">
        <v>966</v>
      </c>
      <c r="C1723" s="10"/>
      <c r="D1723" s="14"/>
      <c r="E1723" s="155"/>
      <c r="F1723" s="10"/>
      <c r="G1723" s="17"/>
      <c r="H1723" s="10"/>
      <c r="I1723" s="17"/>
      <c r="J1723" s="82"/>
      <c r="K1723" s="340"/>
      <c r="L1723" s="344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>
      <c r="A1724" s="10" t="s">
        <v>768</v>
      </c>
      <c r="B1724" s="226" t="s">
        <v>966</v>
      </c>
      <c r="C1724" s="10"/>
      <c r="D1724" s="14"/>
      <c r="E1724" s="155"/>
      <c r="F1724" s="10"/>
      <c r="G1724" s="17"/>
      <c r="H1724" s="10"/>
      <c r="I1724" s="17"/>
      <c r="J1724" s="82"/>
      <c r="K1724" s="340"/>
      <c r="L1724" s="344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>
      <c r="A1725" s="10" t="s">
        <v>768</v>
      </c>
      <c r="B1725" s="226" t="s">
        <v>966</v>
      </c>
      <c r="C1725" s="10"/>
      <c r="D1725" s="14"/>
      <c r="E1725" s="155"/>
      <c r="F1725" s="10"/>
      <c r="G1725" s="17"/>
      <c r="H1725" s="10"/>
      <c r="I1725" s="17"/>
      <c r="J1725" s="82"/>
      <c r="K1725" s="340"/>
      <c r="L1725" s="344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>
      <c r="A1726" s="10" t="s">
        <v>768</v>
      </c>
      <c r="B1726" s="226" t="s">
        <v>966</v>
      </c>
      <c r="C1726" s="10"/>
      <c r="D1726" s="14"/>
      <c r="E1726" s="155"/>
      <c r="F1726" s="10"/>
      <c r="G1726" s="17"/>
      <c r="H1726" s="10"/>
      <c r="I1726" s="17"/>
      <c r="J1726" s="82"/>
      <c r="K1726" s="340"/>
      <c r="L1726" s="344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>
      <c r="A1727" s="10" t="s">
        <v>768</v>
      </c>
      <c r="B1727" s="226" t="s">
        <v>966</v>
      </c>
      <c r="C1727" s="10"/>
      <c r="D1727" s="14"/>
      <c r="E1727" s="155"/>
      <c r="F1727" s="10"/>
      <c r="G1727" s="17"/>
      <c r="H1727" s="10"/>
      <c r="I1727" s="17"/>
      <c r="J1727" s="82"/>
      <c r="K1727" s="340"/>
      <c r="L1727" s="344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>
      <c r="A1728" s="10" t="s">
        <v>768</v>
      </c>
      <c r="B1728" s="226" t="s">
        <v>966</v>
      </c>
      <c r="C1728" s="10"/>
      <c r="D1728" s="14"/>
      <c r="E1728" s="155"/>
      <c r="F1728" s="10"/>
      <c r="G1728" s="17"/>
      <c r="H1728" s="10"/>
      <c r="I1728" s="17"/>
      <c r="J1728" s="82"/>
      <c r="K1728" s="340"/>
      <c r="L1728" s="344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>
      <c r="A1729" s="10" t="s">
        <v>768</v>
      </c>
      <c r="B1729" s="226" t="s">
        <v>966</v>
      </c>
      <c r="C1729" s="10"/>
      <c r="D1729" s="14"/>
      <c r="E1729" s="155"/>
      <c r="F1729" s="10"/>
      <c r="G1729" s="17"/>
      <c r="H1729" s="10"/>
      <c r="I1729" s="17"/>
      <c r="J1729" s="82"/>
      <c r="K1729" s="340"/>
      <c r="L1729" s="344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>
      <c r="A1730" s="10" t="s">
        <v>768</v>
      </c>
      <c r="B1730" s="226" t="s">
        <v>966</v>
      </c>
      <c r="C1730" s="10"/>
      <c r="D1730" s="14"/>
      <c r="E1730" s="155"/>
      <c r="F1730" s="10"/>
      <c r="G1730" s="17"/>
      <c r="H1730" s="10"/>
      <c r="I1730" s="17"/>
      <c r="J1730" s="82"/>
      <c r="K1730" s="340"/>
      <c r="L1730" s="344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>
      <c r="A1731" s="10" t="s">
        <v>768</v>
      </c>
      <c r="B1731" s="226" t="s">
        <v>966</v>
      </c>
      <c r="C1731" s="10"/>
      <c r="D1731" s="14"/>
      <c r="E1731" s="155"/>
      <c r="F1731" s="10"/>
      <c r="G1731" s="17"/>
      <c r="H1731" s="10"/>
      <c r="I1731" s="17"/>
      <c r="J1731" s="82"/>
      <c r="K1731" s="340"/>
      <c r="L1731" s="344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>
      <c r="A1732" s="17" t="s">
        <v>768</v>
      </c>
      <c r="B1732" s="227"/>
      <c r="C1732" s="17"/>
      <c r="D1732" s="18"/>
      <c r="E1732" s="235"/>
      <c r="F1732" s="17"/>
      <c r="G1732" s="17"/>
      <c r="H1732" s="17"/>
      <c r="I1732" s="17"/>
      <c r="J1732" s="83"/>
      <c r="K1732" s="340"/>
      <c r="L1732" s="344"/>
      <c r="M1732" s="89"/>
      <c r="N1732" s="17" t="s">
        <v>102</v>
      </c>
      <c r="O1732" s="25" t="s">
        <v>1780</v>
      </c>
      <c r="P1732" s="91" t="s">
        <v>1539</v>
      </c>
      <c r="Q1732" s="177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>
      <c r="A1733" s="10" t="s">
        <v>768</v>
      </c>
      <c r="B1733" s="226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5" t="s">
        <v>257</v>
      </c>
      <c r="F1733" s="10"/>
      <c r="G1733" s="17"/>
      <c r="H1733" s="10"/>
      <c r="I1733" s="17"/>
      <c r="J1733" s="82"/>
      <c r="K1733" s="341">
        <v>0.47260799999999997</v>
      </c>
      <c r="L1733" s="344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32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>
      <c r="A1734" s="10" t="s">
        <v>768</v>
      </c>
      <c r="B1734" s="226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>Black Aluminium Mesh 1.6mm</v>
      </c>
      <c r="E1734" s="155" t="s">
        <v>269</v>
      </c>
      <c r="F1734" s="11"/>
      <c r="G1734" s="17"/>
      <c r="H1734" s="10"/>
      <c r="I1734" s="17"/>
      <c r="J1734" s="82"/>
      <c r="K1734" s="340"/>
      <c r="L1734" s="344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128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>
      <c r="A1735" s="10" t="s">
        <v>768</v>
      </c>
      <c r="B1735" s="226" t="str">
        <f t="shared" si="36"/>
        <v>⛔ Dual Security Door Insert ⛔</v>
      </c>
      <c r="C1735" s="10" t="s">
        <v>97</v>
      </c>
      <c r="D1735" s="14" t="str">
        <v>Black Aluminium Mesh 1.8mm</v>
      </c>
      <c r="E1735" s="155"/>
      <c r="F1735" s="10"/>
      <c r="G1735" s="17"/>
      <c r="H1735" s="10"/>
      <c r="I1735" s="17"/>
      <c r="J1735" s="82"/>
      <c r="K1735" s="340"/>
      <c r="L1735" s="344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128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>
      <c r="A1736" s="10" t="s">
        <v>768</v>
      </c>
      <c r="B1736" s="226" t="str">
        <f t="shared" si="36"/>
        <v>⛔ Dual Security Door Insert ⛔</v>
      </c>
      <c r="C1736" s="10" t="s">
        <v>97</v>
      </c>
      <c r="D1736" s="14" t="str">
        <v>Black Stainless Steel Mesh 1.0mm</v>
      </c>
      <c r="E1736" s="155"/>
      <c r="F1736" s="10"/>
      <c r="G1736" s="17"/>
      <c r="H1736" s="10"/>
      <c r="I1736" s="17"/>
      <c r="J1736" s="82"/>
      <c r="K1736" s="340"/>
      <c r="L1736" s="344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64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>
      <c r="A1737" s="10" t="s">
        <v>768</v>
      </c>
      <c r="B1737" s="226" t="str">
        <f t="shared" si="36"/>
        <v>⛔ Dual Security Door Insert ⛔</v>
      </c>
      <c r="C1737" s="10" t="s">
        <v>97</v>
      </c>
      <c r="D1737" s="14" t="str">
        <v/>
      </c>
      <c r="E1737" s="155"/>
      <c r="F1737" s="10"/>
      <c r="G1737" s="17"/>
      <c r="H1737" s="10"/>
      <c r="I1737" s="17"/>
      <c r="J1737" s="82"/>
      <c r="K1737" s="340"/>
      <c r="L1737" s="344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4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>
      <c r="A1738" s="10" t="s">
        <v>768</v>
      </c>
      <c r="B1738" s="226" t="str">
        <f t="shared" si="36"/>
        <v>⛔ Dual Security Door Insert ⛔</v>
      </c>
      <c r="C1738" s="10" t="s">
        <v>97</v>
      </c>
      <c r="D1738" s="14" t="str">
        <v/>
      </c>
      <c r="E1738" s="155"/>
      <c r="F1738" s="10"/>
      <c r="G1738" s="17"/>
      <c r="H1738" s="10"/>
      <c r="I1738" s="17"/>
      <c r="J1738" s="82"/>
      <c r="K1738" s="340"/>
      <c r="L1738" s="344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4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>
      <c r="A1739" s="10" t="s">
        <v>768</v>
      </c>
      <c r="B1739" s="226" t="str">
        <f t="shared" si="36"/>
        <v>⛔ Dual Security Door Insert ⛔</v>
      </c>
      <c r="C1739" s="10" t="s">
        <v>97</v>
      </c>
      <c r="D1739" s="14" t="str">
        <v/>
      </c>
      <c r="E1739" s="155"/>
      <c r="F1739" s="10"/>
      <c r="G1739" s="17"/>
      <c r="H1739" s="10"/>
      <c r="I1739" s="17"/>
      <c r="J1739" s="82"/>
      <c r="K1739" s="340"/>
      <c r="L1739" s="344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4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>
      <c r="A1740" s="10" t="s">
        <v>768</v>
      </c>
      <c r="B1740" s="226" t="str">
        <f t="shared" si="36"/>
        <v>⛔ Dual Security Door Insert ⛔</v>
      </c>
      <c r="C1740" s="10" t="s">
        <v>97</v>
      </c>
      <c r="D1740" s="14" t="str">
        <v/>
      </c>
      <c r="E1740" s="155"/>
      <c r="F1740" s="10"/>
      <c r="G1740" s="17"/>
      <c r="H1740" s="10"/>
      <c r="I1740" s="17"/>
      <c r="J1740" s="82"/>
      <c r="K1740" s="340"/>
      <c r="L1740" s="344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8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>
      <c r="A1741" s="10" t="s">
        <v>768</v>
      </c>
      <c r="B1741" s="226" t="str">
        <f t="shared" si="36"/>
        <v>⛔ Dual Security Door Insert ⛔</v>
      </c>
      <c r="C1741" s="10" t="s">
        <v>97</v>
      </c>
      <c r="D1741" s="14" t="str">
        <v/>
      </c>
      <c r="E1741" s="155"/>
      <c r="F1741" s="10"/>
      <c r="G1741" s="17"/>
      <c r="H1741" s="10"/>
      <c r="I1741" s="17"/>
      <c r="J1741" s="82"/>
      <c r="K1741" s="340"/>
      <c r="L1741" s="344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4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>
      <c r="A1742" s="10" t="s">
        <v>768</v>
      </c>
      <c r="B1742" s="226" t="str">
        <f t="shared" si="36"/>
        <v>⛔ Dual Security Door Insert ⛔</v>
      </c>
      <c r="C1742" s="10" t="s">
        <v>97</v>
      </c>
      <c r="D1742" s="14" t="str">
        <v/>
      </c>
      <c r="E1742" s="155"/>
      <c r="F1742" s="10"/>
      <c r="G1742" s="17"/>
      <c r="H1742" s="10"/>
      <c r="I1742" s="17"/>
      <c r="J1742" s="82"/>
      <c r="K1742" s="340"/>
      <c r="L1742" s="344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32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>
      <c r="A1743" s="10" t="s">
        <v>768</v>
      </c>
      <c r="B1743" s="226" t="str">
        <f t="shared" si="36"/>
        <v>⛔ Dual Security Door Insert ⛔</v>
      </c>
      <c r="C1743" s="10" t="s">
        <v>97</v>
      </c>
      <c r="D1743" s="14"/>
      <c r="E1743" s="155"/>
      <c r="F1743" s="10"/>
      <c r="G1743" s="17"/>
      <c r="H1743" s="10"/>
      <c r="I1743" s="17"/>
      <c r="J1743" s="82"/>
      <c r="K1743" s="340"/>
      <c r="L1743" s="344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32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>
      <c r="A1744" s="10" t="s">
        <v>768</v>
      </c>
      <c r="B1744" s="226" t="str">
        <f t="shared" si="36"/>
        <v>⛔ Dual Security Door Insert ⛔</v>
      </c>
      <c r="C1744" s="10" t="s">
        <v>97</v>
      </c>
      <c r="D1744" s="14"/>
      <c r="E1744" s="155"/>
      <c r="F1744" s="10"/>
      <c r="G1744" s="17"/>
      <c r="H1744" s="10"/>
      <c r="I1744" s="17"/>
      <c r="J1744" s="82"/>
      <c r="K1744" s="340"/>
      <c r="L1744" s="344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8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>
      <c r="A1745" s="10" t="s">
        <v>768</v>
      </c>
      <c r="B1745" s="226" t="str">
        <f t="shared" si="36"/>
        <v>⛔ Dual Security Door Insert ⛔</v>
      </c>
      <c r="C1745" s="10" t="s">
        <v>97</v>
      </c>
      <c r="D1745" s="14"/>
      <c r="E1745" s="155"/>
      <c r="F1745" s="10"/>
      <c r="G1745" s="17"/>
      <c r="H1745" s="10"/>
      <c r="I1745" s="17"/>
      <c r="J1745" s="82"/>
      <c r="K1745" s="340"/>
      <c r="L1745" s="344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80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>
      <c r="A1746" s="10" t="s">
        <v>768</v>
      </c>
      <c r="B1746" s="226" t="str">
        <f t="shared" si="36"/>
        <v>⛔ Dual Security Door Insert ⛔</v>
      </c>
      <c r="C1746" s="10" t="s">
        <v>97</v>
      </c>
      <c r="D1746" s="14"/>
      <c r="E1746" s="155"/>
      <c r="F1746" s="10"/>
      <c r="G1746" s="17"/>
      <c r="H1746" s="10"/>
      <c r="I1746" s="17"/>
      <c r="J1746" s="82"/>
      <c r="K1746" s="340"/>
      <c r="L1746" s="344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80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>
      <c r="A1747" s="10" t="s">
        <v>768</v>
      </c>
      <c r="B1747" s="226" t="str">
        <f t="shared" si="36"/>
        <v>⛔ Dual Security Door Insert ⛔</v>
      </c>
      <c r="C1747" s="10" t="s">
        <v>97</v>
      </c>
      <c r="D1747" s="14"/>
      <c r="E1747" s="155"/>
      <c r="F1747" s="10"/>
      <c r="G1747" s="17"/>
      <c r="H1747" s="10"/>
      <c r="I1747" s="17"/>
      <c r="J1747" s="82"/>
      <c r="K1747" s="340"/>
      <c r="L1747" s="344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256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>
      <c r="A1748" s="10" t="s">
        <v>768</v>
      </c>
      <c r="B1748" s="226" t="str">
        <f t="shared" si="36"/>
        <v>⛔ Dual Security Door Insert ⛔</v>
      </c>
      <c r="C1748" s="10" t="s">
        <v>97</v>
      </c>
      <c r="D1748" s="14"/>
      <c r="E1748" s="155"/>
      <c r="F1748" s="10"/>
      <c r="G1748" s="17"/>
      <c r="H1748" s="10"/>
      <c r="I1748" s="17"/>
      <c r="J1748" s="82"/>
      <c r="K1748" s="340"/>
      <c r="L1748" s="344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256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>
      <c r="A1749" s="10" t="s">
        <v>768</v>
      </c>
      <c r="B1749" s="226" t="str">
        <f t="shared" si="36"/>
        <v>⛔ Dual Security Door Insert ⛔</v>
      </c>
      <c r="C1749" s="10" t="s">
        <v>97</v>
      </c>
      <c r="D1749" s="14"/>
      <c r="E1749" s="155"/>
      <c r="F1749" s="10"/>
      <c r="G1749" s="17"/>
      <c r="H1749" s="10"/>
      <c r="I1749" s="17"/>
      <c r="J1749" s="82"/>
      <c r="K1749" s="340"/>
      <c r="L1749" s="344"/>
      <c r="M1749" s="88"/>
      <c r="N1749" s="10" t="s">
        <v>121</v>
      </c>
      <c r="O1749" s="22" t="str">
        <f>$O$2</f>
        <v/>
      </c>
      <c r="P1749" s="21" t="str">
        <f>Enginuity!$A$19</f>
        <v>P/C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>
      <c r="A1750" s="10" t="s">
        <v>768</v>
      </c>
      <c r="B1750" s="226" t="str">
        <f t="shared" si="36"/>
        <v>⛔ Dual Security Door Insert ⛔</v>
      </c>
      <c r="C1750" s="10"/>
      <c r="D1750" s="14"/>
      <c r="E1750" s="155"/>
      <c r="F1750" s="10"/>
      <c r="G1750" s="17"/>
      <c r="H1750" s="10"/>
      <c r="I1750" s="17"/>
      <c r="J1750" s="82"/>
      <c r="K1750" s="340"/>
      <c r="L1750" s="344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>
      <c r="A1751" s="10" t="s">
        <v>768</v>
      </c>
      <c r="B1751" s="226" t="str">
        <f t="shared" si="36"/>
        <v>⛔ Dual Security Door Insert ⛔</v>
      </c>
      <c r="C1751" s="10"/>
      <c r="D1751" s="14"/>
      <c r="E1751" s="155"/>
      <c r="F1751" s="10"/>
      <c r="G1751" s="17"/>
      <c r="H1751" s="10"/>
      <c r="I1751" s="17"/>
      <c r="J1751" s="82"/>
      <c r="K1751" s="340"/>
      <c r="L1751" s="344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>
      <c r="A1752" s="10" t="s">
        <v>768</v>
      </c>
      <c r="B1752" s="226" t="str">
        <f t="shared" si="36"/>
        <v>⛔ Dual Security Door Insert ⛔</v>
      </c>
      <c r="C1752" s="10"/>
      <c r="D1752" s="14"/>
      <c r="E1752" s="155"/>
      <c r="F1752" s="10"/>
      <c r="G1752" s="17"/>
      <c r="H1752" s="10"/>
      <c r="I1752" s="17"/>
      <c r="J1752" s="82"/>
      <c r="K1752" s="340"/>
      <c r="L1752" s="344"/>
      <c r="M1752" s="88"/>
      <c r="N1752" s="10"/>
      <c r="O1752" s="22"/>
      <c r="P1752" s="338">
        <f>IF(COUNTA(Q1733:Q1750,O1733:O1750)=0,"",SUMPRODUCT(Q1733:Q1750,O1733:O1750))</f>
        <v>4946.8799999999992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>
      <c r="A1753" s="10" t="s">
        <v>768</v>
      </c>
      <c r="B1753" s="226" t="str">
        <f t="shared" si="36"/>
        <v>⛔ Dual Security Door Insert ⛔</v>
      </c>
      <c r="C1753" s="10"/>
      <c r="D1753" s="14"/>
      <c r="E1753" s="155"/>
      <c r="F1753" s="10"/>
      <c r="G1753" s="17"/>
      <c r="H1753" s="10"/>
      <c r="I1753" s="17"/>
      <c r="J1753" s="82"/>
      <c r="K1753" s="340"/>
      <c r="L1753" s="344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>
      <c r="A1754" s="10" t="s">
        <v>768</v>
      </c>
      <c r="B1754" s="226" t="str">
        <f t="shared" si="36"/>
        <v>⛔ Dual Security Door Insert ⛔</v>
      </c>
      <c r="C1754" s="10"/>
      <c r="D1754" s="14"/>
      <c r="E1754" s="155"/>
      <c r="F1754" s="10"/>
      <c r="G1754" s="17"/>
      <c r="H1754" s="10"/>
      <c r="I1754" s="17"/>
      <c r="J1754" s="82"/>
      <c r="K1754" s="340"/>
      <c r="L1754" s="344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>
      <c r="A1755" s="10" t="s">
        <v>768</v>
      </c>
      <c r="B1755" s="226" t="str">
        <f t="shared" si="36"/>
        <v>⛔ Dual Security Door Insert ⛔</v>
      </c>
      <c r="C1755" s="10"/>
      <c r="D1755" s="14"/>
      <c r="E1755" s="155"/>
      <c r="F1755" s="10"/>
      <c r="G1755" s="17"/>
      <c r="H1755" s="10"/>
      <c r="I1755" s="17"/>
      <c r="J1755" s="82"/>
      <c r="K1755" s="340"/>
      <c r="L1755" s="344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>
      <c r="A1756" s="10" t="s">
        <v>768</v>
      </c>
      <c r="B1756" s="226" t="str">
        <f t="shared" si="36"/>
        <v>⛔ Dual Security Door Insert ⛔</v>
      </c>
      <c r="C1756" s="10"/>
      <c r="D1756" s="14"/>
      <c r="E1756" s="155"/>
      <c r="F1756" s="10"/>
      <c r="G1756" s="17"/>
      <c r="H1756" s="10"/>
      <c r="I1756" s="17"/>
      <c r="J1756" s="82"/>
      <c r="K1756" s="340"/>
      <c r="L1756" s="344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>
      <c r="A1757" s="10" t="s">
        <v>768</v>
      </c>
      <c r="B1757" s="226" t="str">
        <f t="shared" si="36"/>
        <v>⛔ Dual Security Door Insert ⛔</v>
      </c>
      <c r="C1757" s="10"/>
      <c r="D1757" s="14"/>
      <c r="E1757" s="155"/>
      <c r="F1757" s="10"/>
      <c r="G1757" s="17"/>
      <c r="H1757" s="10"/>
      <c r="I1757" s="17"/>
      <c r="J1757" s="82"/>
      <c r="K1757" s="340"/>
      <c r="L1757" s="344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>
      <c r="A1758" s="10" t="s">
        <v>768</v>
      </c>
      <c r="B1758" s="226" t="str">
        <f t="shared" si="36"/>
        <v>⛔ Dual Security Door Insert ⛔</v>
      </c>
      <c r="C1758" s="10"/>
      <c r="D1758" s="14"/>
      <c r="E1758" s="155"/>
      <c r="F1758" s="10"/>
      <c r="G1758" s="17"/>
      <c r="H1758" s="10"/>
      <c r="I1758" s="17"/>
      <c r="J1758" s="82"/>
      <c r="K1758" s="340"/>
      <c r="L1758" s="344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>
      <c r="A1759" s="10" t="s">
        <v>768</v>
      </c>
      <c r="B1759" s="226" t="str">
        <f t="shared" si="36"/>
        <v>⛔ Dual Security Door Insert ⛔</v>
      </c>
      <c r="C1759" s="10"/>
      <c r="D1759" s="14"/>
      <c r="E1759" s="155"/>
      <c r="F1759" s="10"/>
      <c r="G1759" s="17"/>
      <c r="H1759" s="10"/>
      <c r="I1759" s="17"/>
      <c r="J1759" s="82"/>
      <c r="K1759" s="340"/>
      <c r="L1759" s="344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>
      <c r="A1760" s="10" t="s">
        <v>768</v>
      </c>
      <c r="B1760" s="226" t="str">
        <f t="shared" si="36"/>
        <v>⛔ Dual Security Door Insert ⛔</v>
      </c>
      <c r="C1760" s="10"/>
      <c r="D1760" s="14"/>
      <c r="E1760" s="155"/>
      <c r="F1760" s="10"/>
      <c r="G1760" s="17"/>
      <c r="H1760" s="10"/>
      <c r="I1760" s="17"/>
      <c r="J1760" s="82"/>
      <c r="K1760" s="340"/>
      <c r="L1760" s="344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>
      <c r="A1761" s="10" t="s">
        <v>768</v>
      </c>
      <c r="B1761" s="226" t="str">
        <f t="shared" si="36"/>
        <v>⛔ Dual Security Door Insert ⛔</v>
      </c>
      <c r="C1761" s="10"/>
      <c r="D1761" s="14"/>
      <c r="E1761" s="155"/>
      <c r="F1761" s="10"/>
      <c r="G1761" s="17"/>
      <c r="H1761" s="10"/>
      <c r="I1761" s="17"/>
      <c r="J1761" s="82"/>
      <c r="K1761" s="340"/>
      <c r="L1761" s="344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>
      <c r="A1762" s="10" t="s">
        <v>768</v>
      </c>
      <c r="B1762" s="226" t="str">
        <f t="shared" si="36"/>
        <v>⛔ Dual Security Door Insert ⛔</v>
      </c>
      <c r="C1762" s="10"/>
      <c r="D1762" s="14"/>
      <c r="E1762" s="155"/>
      <c r="F1762" s="10"/>
      <c r="G1762" s="17"/>
      <c r="H1762" s="10"/>
      <c r="I1762" s="17"/>
      <c r="J1762" s="82"/>
      <c r="K1762" s="340"/>
      <c r="L1762" s="344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>
      <c r="A1763" s="10" t="s">
        <v>768</v>
      </c>
      <c r="B1763" s="226" t="str">
        <f t="shared" si="36"/>
        <v>⛔ Dual Security Door Insert ⛔</v>
      </c>
      <c r="C1763" s="10"/>
      <c r="D1763" s="14"/>
      <c r="E1763" s="155"/>
      <c r="F1763" s="10"/>
      <c r="G1763" s="17"/>
      <c r="H1763" s="10"/>
      <c r="I1763" s="17"/>
      <c r="J1763" s="82"/>
      <c r="K1763" s="340"/>
      <c r="L1763" s="344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>
      <c r="A1764" s="10" t="s">
        <v>768</v>
      </c>
      <c r="B1764" s="226" t="str">
        <f t="shared" si="36"/>
        <v>⛔ Dual Security Door Insert ⛔</v>
      </c>
      <c r="C1764" s="10"/>
      <c r="D1764" s="14"/>
      <c r="E1764" s="155"/>
      <c r="F1764" s="10"/>
      <c r="G1764" s="17"/>
      <c r="H1764" s="10"/>
      <c r="I1764" s="17"/>
      <c r="J1764" s="82"/>
      <c r="K1764" s="340"/>
      <c r="L1764" s="344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>
      <c r="A1765" s="10" t="s">
        <v>768</v>
      </c>
      <c r="B1765" s="226" t="str">
        <f t="shared" si="36"/>
        <v>⛔ Dual Security Door Insert ⛔</v>
      </c>
      <c r="C1765" s="10"/>
      <c r="D1765" s="14"/>
      <c r="E1765" s="155"/>
      <c r="F1765" s="10"/>
      <c r="G1765" s="17"/>
      <c r="H1765" s="10"/>
      <c r="I1765" s="17"/>
      <c r="J1765" s="82"/>
      <c r="K1765" s="340"/>
      <c r="L1765" s="344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>
      <c r="A1766" s="10" t="s">
        <v>768</v>
      </c>
      <c r="B1766" s="226" t="str">
        <f t="shared" si="36"/>
        <v>⛔ Dual Security Door Insert ⛔</v>
      </c>
      <c r="C1766" s="10"/>
      <c r="D1766" s="14"/>
      <c r="E1766" s="155"/>
      <c r="F1766" s="10"/>
      <c r="G1766" s="17"/>
      <c r="H1766" s="10"/>
      <c r="I1766" s="17"/>
      <c r="J1766" s="82"/>
      <c r="K1766" s="340"/>
      <c r="L1766" s="344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>
      <c r="A1767" s="10" t="s">
        <v>768</v>
      </c>
      <c r="B1767" s="226" t="str">
        <f t="shared" si="36"/>
        <v>⛔ Dual Security Door Insert ⛔</v>
      </c>
      <c r="C1767" s="10"/>
      <c r="D1767" s="14"/>
      <c r="E1767" s="155"/>
      <c r="F1767" s="10"/>
      <c r="G1767" s="17"/>
      <c r="H1767" s="10"/>
      <c r="I1767" s="17"/>
      <c r="J1767" s="82"/>
      <c r="K1767" s="340"/>
      <c r="L1767" s="344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>
      <c r="A1768" s="10" t="s">
        <v>768</v>
      </c>
      <c r="B1768" s="226" t="str">
        <f t="shared" si="36"/>
        <v>⛔ Dual Security Door Insert ⛔</v>
      </c>
      <c r="C1768" s="10"/>
      <c r="D1768" s="14"/>
      <c r="E1768" s="155"/>
      <c r="F1768" s="10"/>
      <c r="G1768" s="17"/>
      <c r="H1768" s="10"/>
      <c r="I1768" s="17"/>
      <c r="J1768" s="82"/>
      <c r="K1768" s="340"/>
      <c r="L1768" s="344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>
      <c r="A1769" s="10" t="s">
        <v>768</v>
      </c>
      <c r="B1769" s="226" t="str">
        <f t="shared" si="36"/>
        <v>⛔ Dual Security Door Insert ⛔</v>
      </c>
      <c r="C1769" s="10"/>
      <c r="D1769" s="14"/>
      <c r="E1769" s="155"/>
      <c r="F1769" s="10"/>
      <c r="G1769" s="17"/>
      <c r="H1769" s="10"/>
      <c r="I1769" s="17"/>
      <c r="J1769" s="82"/>
      <c r="K1769" s="340"/>
      <c r="L1769" s="344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>
      <c r="A1770" s="10" t="s">
        <v>768</v>
      </c>
      <c r="B1770" s="226" t="str">
        <f t="shared" si="36"/>
        <v>⛔ Dual Security Door Insert ⛔</v>
      </c>
      <c r="C1770" s="10"/>
      <c r="D1770" s="14"/>
      <c r="E1770" s="155"/>
      <c r="F1770" s="10"/>
      <c r="G1770" s="17"/>
      <c r="H1770" s="10"/>
      <c r="I1770" s="17"/>
      <c r="J1770" s="82"/>
      <c r="K1770" s="340"/>
      <c r="L1770" s="344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>
      <c r="A1771" s="10" t="s">
        <v>768</v>
      </c>
      <c r="B1771" s="226" t="str">
        <f t="shared" si="36"/>
        <v>⛔ Dual Security Door Insert ⛔</v>
      </c>
      <c r="C1771" s="10"/>
      <c r="D1771" s="14"/>
      <c r="E1771" s="155"/>
      <c r="F1771" s="10"/>
      <c r="G1771" s="17"/>
      <c r="H1771" s="10"/>
      <c r="I1771" s="17"/>
      <c r="J1771" s="82"/>
      <c r="K1771" s="340"/>
      <c r="L1771" s="344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>
      <c r="A1772" s="10" t="s">
        <v>768</v>
      </c>
      <c r="B1772" s="226" t="str">
        <f t="shared" si="36"/>
        <v>⛔ Dual Security Door Insert ⛔</v>
      </c>
      <c r="C1772" s="10"/>
      <c r="D1772" s="14"/>
      <c r="E1772" s="155"/>
      <c r="F1772" s="10"/>
      <c r="G1772" s="17"/>
      <c r="H1772" s="10"/>
      <c r="I1772" s="17"/>
      <c r="J1772" s="82"/>
      <c r="K1772" s="340"/>
      <c r="L1772" s="344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>
      <c r="A1773" s="10" t="s">
        <v>768</v>
      </c>
      <c r="B1773" s="226" t="str">
        <f t="shared" si="36"/>
        <v>⛔ Dual Security Door Insert ⛔</v>
      </c>
      <c r="C1773" s="10"/>
      <c r="D1773" s="14"/>
      <c r="E1773" s="155"/>
      <c r="F1773" s="10"/>
      <c r="G1773" s="17"/>
      <c r="H1773" s="10"/>
      <c r="I1773" s="17"/>
      <c r="J1773" s="82"/>
      <c r="K1773" s="340"/>
      <c r="L1773" s="344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>
      <c r="A1774" s="10" t="s">
        <v>768</v>
      </c>
      <c r="B1774" s="226" t="str">
        <f t="shared" si="36"/>
        <v>⛔ Dual Security Door Insert ⛔</v>
      </c>
      <c r="C1774" s="10"/>
      <c r="D1774" s="14"/>
      <c r="E1774" s="155"/>
      <c r="F1774" s="10"/>
      <c r="G1774" s="17"/>
      <c r="H1774" s="10"/>
      <c r="I1774" s="17"/>
      <c r="J1774" s="82"/>
      <c r="K1774" s="340"/>
      <c r="L1774" s="344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>
      <c r="A1775" s="10" t="s">
        <v>768</v>
      </c>
      <c r="B1775" s="226" t="str">
        <f t="shared" si="36"/>
        <v>⛔ Dual Security Door Insert ⛔</v>
      </c>
      <c r="C1775" s="10"/>
      <c r="D1775" s="14"/>
      <c r="E1775" s="155"/>
      <c r="F1775" s="10"/>
      <c r="G1775" s="17"/>
      <c r="H1775" s="10"/>
      <c r="I1775" s="17"/>
      <c r="J1775" s="82"/>
      <c r="K1775" s="340"/>
      <c r="L1775" s="344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>
      <c r="A1776" s="10" t="s">
        <v>768</v>
      </c>
      <c r="B1776" s="226" t="str">
        <f t="shared" si="36"/>
        <v>⛔ Dual Security Door Insert ⛔</v>
      </c>
      <c r="C1776" s="10"/>
      <c r="D1776" s="14"/>
      <c r="E1776" s="155"/>
      <c r="F1776" s="10"/>
      <c r="G1776" s="17"/>
      <c r="H1776" s="10"/>
      <c r="I1776" s="17"/>
      <c r="J1776" s="82"/>
      <c r="K1776" s="340"/>
      <c r="L1776" s="344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>
      <c r="A1777" s="10" t="s">
        <v>768</v>
      </c>
      <c r="B1777" s="226" t="str">
        <f t="shared" si="36"/>
        <v>⛔ Dual Security Door Insert ⛔</v>
      </c>
      <c r="C1777" s="10"/>
      <c r="D1777" s="14"/>
      <c r="E1777" s="155"/>
      <c r="F1777" s="10"/>
      <c r="G1777" s="17"/>
      <c r="H1777" s="10"/>
      <c r="I1777" s="17"/>
      <c r="J1777" s="82"/>
      <c r="K1777" s="340"/>
      <c r="L1777" s="344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>
      <c r="A1778" s="10" t="s">
        <v>768</v>
      </c>
      <c r="B1778" s="226" t="str">
        <f t="shared" si="36"/>
        <v>⛔ Dual Security Door Insert ⛔</v>
      </c>
      <c r="C1778" s="10"/>
      <c r="D1778" s="14"/>
      <c r="E1778" s="155"/>
      <c r="F1778" s="10"/>
      <c r="G1778" s="17"/>
      <c r="H1778" s="10"/>
      <c r="I1778" s="17"/>
      <c r="J1778" s="82"/>
      <c r="K1778" s="340"/>
      <c r="L1778" s="344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>
      <c r="A1779" s="10" t="s">
        <v>768</v>
      </c>
      <c r="B1779" s="226" t="str">
        <f t="shared" si="36"/>
        <v>⛔ Dual Security Door Insert ⛔</v>
      </c>
      <c r="C1779" s="10"/>
      <c r="D1779" s="14"/>
      <c r="E1779" s="155"/>
      <c r="F1779" s="10"/>
      <c r="G1779" s="17"/>
      <c r="H1779" s="10"/>
      <c r="I1779" s="17"/>
      <c r="J1779" s="82"/>
      <c r="K1779" s="340"/>
      <c r="L1779" s="344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>
      <c r="A1780" s="10" t="s">
        <v>768</v>
      </c>
      <c r="B1780" s="226" t="str">
        <f t="shared" si="36"/>
        <v>⛔ Dual Security Door Insert ⛔</v>
      </c>
      <c r="C1780" s="10"/>
      <c r="D1780" s="14"/>
      <c r="E1780" s="155"/>
      <c r="F1780" s="10"/>
      <c r="G1780" s="17"/>
      <c r="H1780" s="10"/>
      <c r="I1780" s="17"/>
      <c r="J1780" s="82"/>
      <c r="K1780" s="340"/>
      <c r="L1780" s="344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>
      <c r="A1781" s="17" t="s">
        <v>768</v>
      </c>
      <c r="B1781" s="227"/>
      <c r="C1781" s="17"/>
      <c r="D1781" s="18"/>
      <c r="E1781" s="235"/>
      <c r="F1781" s="18"/>
      <c r="G1781" s="17"/>
      <c r="H1781" s="17"/>
      <c r="I1781" s="17"/>
      <c r="J1781" s="83"/>
      <c r="K1781" s="340"/>
      <c r="L1781" s="344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>
      <c r="A1782" s="10" t="s">
        <v>768</v>
      </c>
      <c r="B1782" s="226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5"/>
      <c r="F1782" s="11"/>
      <c r="G1782" s="17"/>
      <c r="H1782" s="10"/>
      <c r="I1782" s="17"/>
      <c r="J1782" s="82"/>
      <c r="K1782" s="341">
        <v>0.521208</v>
      </c>
      <c r="L1782" s="344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27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>
      <c r="A1783" s="10" t="s">
        <v>768</v>
      </c>
      <c r="B1783" s="226" t="s">
        <v>1357</v>
      </c>
      <c r="C1783" s="10" t="s">
        <v>1363</v>
      </c>
      <c r="D1783" s="106" t="str">
        <v>Black Aluminium Mesh 1.6mm</v>
      </c>
      <c r="E1783" s="155"/>
      <c r="F1783" s="11"/>
      <c r="G1783" s="17"/>
      <c r="H1783" s="10"/>
      <c r="I1783" s="17"/>
      <c r="J1783" s="82"/>
      <c r="K1783" s="340"/>
      <c r="L1783" s="344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27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>
      <c r="A1784" s="10" t="s">
        <v>768</v>
      </c>
      <c r="B1784" s="226" t="s">
        <v>1357</v>
      </c>
      <c r="C1784" s="10" t="s">
        <v>1360</v>
      </c>
      <c r="D1784" s="106" t="str">
        <v>Black Aluminium Mesh 1.8mm</v>
      </c>
      <c r="E1784" s="155"/>
      <c r="F1784" s="10"/>
      <c r="G1784" s="17"/>
      <c r="H1784" s="10"/>
      <c r="I1784" s="17"/>
      <c r="J1784" s="82"/>
      <c r="K1784" s="340"/>
      <c r="L1784" s="344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108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>
      <c r="A1785" s="10" t="s">
        <v>768</v>
      </c>
      <c r="B1785" s="226" t="s">
        <v>1357</v>
      </c>
      <c r="C1785" s="10"/>
      <c r="D1785" s="106" t="str">
        <v>Black Stainless Steel Mesh 1.0mm</v>
      </c>
      <c r="E1785" s="155"/>
      <c r="F1785" s="10"/>
      <c r="G1785" s="17"/>
      <c r="H1785" s="10"/>
      <c r="I1785" s="17"/>
      <c r="J1785" s="82"/>
      <c r="K1785" s="340"/>
      <c r="L1785" s="344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376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25 Blade 4" Adjustable Altair Louver</v>
      </c>
      <c r="Q1785" s="82">
        <f>IFERROR(MAX(1, ROUNDUP(VALUE(Enginuity!$B$13), 0)), 1)</f>
        <v>4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>
      <c r="A1786" s="10" t="s">
        <v>768</v>
      </c>
      <c r="B1786" s="226" t="s">
        <v>1357</v>
      </c>
      <c r="C1786" s="10"/>
      <c r="D1786" s="14" t="str">
        <v/>
      </c>
      <c r="E1786" s="155"/>
      <c r="F1786" s="10"/>
      <c r="G1786" s="17"/>
      <c r="H1786" s="10"/>
      <c r="I1786" s="17"/>
      <c r="J1786" s="82"/>
      <c r="K1786" s="340"/>
      <c r="L1786" s="344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2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>
      <c r="A1787" s="10" t="s">
        <v>768</v>
      </c>
      <c r="B1787" s="226" t="s">
        <v>1357</v>
      </c>
      <c r="C1787" s="10" t="s">
        <v>1368</v>
      </c>
      <c r="D1787" s="14" t="str">
        <v/>
      </c>
      <c r="E1787" s="155"/>
      <c r="F1787" s="10"/>
      <c r="G1787" s="17"/>
      <c r="H1787" s="10"/>
      <c r="I1787" s="17"/>
      <c r="J1787" s="82"/>
      <c r="K1787" s="340"/>
      <c r="L1787" s="344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17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>
      <c r="A1788" s="10" t="s">
        <v>768</v>
      </c>
      <c r="B1788" s="226" t="s">
        <v>1357</v>
      </c>
      <c r="C1788" s="10" t="s">
        <v>1369</v>
      </c>
      <c r="D1788" s="14" t="str">
        <v/>
      </c>
      <c r="E1788" s="155"/>
      <c r="F1788" s="10"/>
      <c r="G1788" s="17"/>
      <c r="H1788" s="10"/>
      <c r="I1788" s="17"/>
      <c r="J1788" s="82"/>
      <c r="K1788" s="340"/>
      <c r="L1788" s="344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17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>
      <c r="A1789" s="10" t="s">
        <v>768</v>
      </c>
      <c r="B1789" s="226" t="s">
        <v>1357</v>
      </c>
      <c r="C1789" s="10" t="s">
        <v>1361</v>
      </c>
      <c r="D1789" s="14" t="str">
        <v/>
      </c>
      <c r="E1789" s="155"/>
      <c r="F1789" s="10"/>
      <c r="G1789" s="17"/>
      <c r="H1789" s="10"/>
      <c r="I1789" s="17"/>
      <c r="J1789" s="82"/>
      <c r="K1789" s="340"/>
      <c r="L1789" s="344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68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>
      <c r="A1790" s="10" t="s">
        <v>768</v>
      </c>
      <c r="B1790" s="226" t="s">
        <v>1357</v>
      </c>
      <c r="C1790" s="10"/>
      <c r="D1790" s="14" t="str">
        <v/>
      </c>
      <c r="E1790" s="155"/>
      <c r="F1790" s="10"/>
      <c r="G1790" s="17"/>
      <c r="H1790" s="10"/>
      <c r="I1790" s="17"/>
      <c r="J1790" s="82"/>
      <c r="K1790" s="341"/>
      <c r="L1790" s="344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>
      <c r="A1791" s="10" t="s">
        <v>768</v>
      </c>
      <c r="B1791" s="226" t="s">
        <v>1357</v>
      </c>
      <c r="C1791" s="10"/>
      <c r="D1791" s="14" t="str">
        <v/>
      </c>
      <c r="E1791" s="155"/>
      <c r="F1791" s="10"/>
      <c r="G1791" s="17"/>
      <c r="H1791" s="10"/>
      <c r="I1791" s="17"/>
      <c r="J1791" s="82"/>
      <c r="K1791" s="340"/>
      <c r="L1791" s="344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>
      <c r="A1792" s="10" t="s">
        <v>768</v>
      </c>
      <c r="B1792" s="226" t="s">
        <v>1357</v>
      </c>
      <c r="C1792" s="10"/>
      <c r="D1792" s="14"/>
      <c r="E1792" s="155"/>
      <c r="F1792" s="10"/>
      <c r="G1792" s="17"/>
      <c r="H1792" s="10"/>
      <c r="I1792" s="17"/>
      <c r="J1792" s="82"/>
      <c r="K1792" s="340"/>
      <c r="L1792" s="344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>
      <c r="A1793" s="10" t="s">
        <v>768</v>
      </c>
      <c r="B1793" s="226" t="s">
        <v>1357</v>
      </c>
      <c r="C1793" s="10"/>
      <c r="D1793" s="14"/>
      <c r="E1793" s="155"/>
      <c r="F1793" s="10"/>
      <c r="G1793" s="17"/>
      <c r="H1793" s="10"/>
      <c r="I1793" s="17"/>
      <c r="J1793" s="82"/>
      <c r="K1793" s="340"/>
      <c r="L1793" s="344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>
      <c r="A1794" s="10" t="s">
        <v>768</v>
      </c>
      <c r="B1794" s="226" t="s">
        <v>1357</v>
      </c>
      <c r="C1794" s="10"/>
      <c r="D1794" s="14"/>
      <c r="E1794" s="155"/>
      <c r="F1794" s="10"/>
      <c r="G1794" s="17"/>
      <c r="H1794" s="10"/>
      <c r="I1794" s="17"/>
      <c r="J1794" s="82"/>
      <c r="K1794" s="340"/>
      <c r="L1794" s="344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>
      <c r="A1795" s="10" t="s">
        <v>768</v>
      </c>
      <c r="B1795" s="226" t="s">
        <v>1357</v>
      </c>
      <c r="C1795" s="10"/>
      <c r="D1795" s="14"/>
      <c r="E1795" s="155"/>
      <c r="F1795" s="10"/>
      <c r="G1795" s="17"/>
      <c r="H1795" s="10"/>
      <c r="I1795" s="17"/>
      <c r="J1795" s="82"/>
      <c r="K1795" s="340"/>
      <c r="L1795" s="344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>
      <c r="A1796" s="10" t="s">
        <v>768</v>
      </c>
      <c r="B1796" s="226" t="s">
        <v>1357</v>
      </c>
      <c r="C1796" s="10"/>
      <c r="D1796" s="14"/>
      <c r="E1796" s="155"/>
      <c r="F1796" s="10"/>
      <c r="G1796" s="17"/>
      <c r="H1796" s="10"/>
      <c r="I1796" s="17"/>
      <c r="J1796" s="82"/>
      <c r="K1796" s="340"/>
      <c r="L1796" s="344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>
      <c r="A1797" s="10" t="s">
        <v>768</v>
      </c>
      <c r="B1797" s="226" t="s">
        <v>1357</v>
      </c>
      <c r="C1797" s="10"/>
      <c r="D1797" s="14"/>
      <c r="E1797" s="155"/>
      <c r="F1797" s="10"/>
      <c r="G1797" s="17"/>
      <c r="H1797" s="10"/>
      <c r="I1797" s="17"/>
      <c r="J1797" s="82"/>
      <c r="K1797" s="340"/>
      <c r="L1797" s="344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>
      <c r="A1798" s="10" t="s">
        <v>768</v>
      </c>
      <c r="B1798" s="226" t="s">
        <v>1357</v>
      </c>
      <c r="C1798" s="10"/>
      <c r="D1798" s="14"/>
      <c r="E1798" s="155"/>
      <c r="F1798" s="10"/>
      <c r="G1798" s="17"/>
      <c r="H1798" s="10"/>
      <c r="I1798" s="17"/>
      <c r="J1798" s="82"/>
      <c r="K1798" s="340"/>
      <c r="L1798" s="344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>
      <c r="A1799" s="10" t="s">
        <v>768</v>
      </c>
      <c r="B1799" s="226" t="s">
        <v>1357</v>
      </c>
      <c r="C1799" s="10"/>
      <c r="D1799" s="14"/>
      <c r="E1799" s="155"/>
      <c r="F1799" s="10"/>
      <c r="G1799" s="17"/>
      <c r="H1799" s="10"/>
      <c r="I1799" s="17"/>
      <c r="J1799" s="82"/>
      <c r="K1799" s="340"/>
      <c r="L1799" s="344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>
      <c r="A1800" s="10" t="s">
        <v>768</v>
      </c>
      <c r="B1800" s="226" t="s">
        <v>1357</v>
      </c>
      <c r="C1800" s="10"/>
      <c r="D1800" s="14"/>
      <c r="E1800" s="155"/>
      <c r="F1800" s="10"/>
      <c r="G1800" s="17"/>
      <c r="H1800" s="10"/>
      <c r="I1800" s="17"/>
      <c r="J1800" s="82"/>
      <c r="K1800" s="340"/>
      <c r="L1800" s="344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>
      <c r="A1801" s="10" t="s">
        <v>768</v>
      </c>
      <c r="B1801" s="226" t="s">
        <v>1357</v>
      </c>
      <c r="C1801" s="10"/>
      <c r="D1801" s="14"/>
      <c r="E1801" s="155"/>
      <c r="F1801" s="10"/>
      <c r="G1801" s="17"/>
      <c r="H1801" s="10"/>
      <c r="I1801" s="17"/>
      <c r="J1801" s="82"/>
      <c r="K1801" s="340"/>
      <c r="L1801" s="344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>
      <c r="A1802" s="10" t="s">
        <v>768</v>
      </c>
      <c r="B1802" s="226" t="s">
        <v>1357</v>
      </c>
      <c r="C1802" s="10"/>
      <c r="D1802" s="14"/>
      <c r="E1802" s="155"/>
      <c r="F1802" s="10"/>
      <c r="G1802" s="17"/>
      <c r="H1802" s="10"/>
      <c r="I1802" s="17"/>
      <c r="J1802" s="82"/>
      <c r="K1802" s="340"/>
      <c r="L1802" s="344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>
      <c r="A1803" s="10" t="s">
        <v>768</v>
      </c>
      <c r="B1803" s="226" t="s">
        <v>1357</v>
      </c>
      <c r="C1803" s="10"/>
      <c r="D1803" s="14"/>
      <c r="E1803" s="155"/>
      <c r="F1803" s="10"/>
      <c r="G1803" s="17"/>
      <c r="H1803" s="10"/>
      <c r="I1803" s="17"/>
      <c r="J1803" s="82"/>
      <c r="K1803" s="340"/>
      <c r="L1803" s="344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>
      <c r="A1804" s="10" t="s">
        <v>768</v>
      </c>
      <c r="B1804" s="226" t="s">
        <v>1357</v>
      </c>
      <c r="C1804" s="10"/>
      <c r="D1804" s="14"/>
      <c r="E1804" s="155"/>
      <c r="F1804" s="10"/>
      <c r="G1804" s="17"/>
      <c r="H1804" s="10"/>
      <c r="I1804" s="17"/>
      <c r="J1804" s="82"/>
      <c r="K1804" s="340"/>
      <c r="L1804" s="344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>
      <c r="A1805" s="10" t="s">
        <v>768</v>
      </c>
      <c r="B1805" s="226" t="s">
        <v>1357</v>
      </c>
      <c r="C1805" s="10"/>
      <c r="D1805" s="14"/>
      <c r="E1805" s="155"/>
      <c r="F1805" s="10"/>
      <c r="G1805" s="17"/>
      <c r="H1805" s="10"/>
      <c r="I1805" s="17"/>
      <c r="J1805" s="82"/>
      <c r="K1805" s="340"/>
      <c r="L1805" s="344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>
      <c r="A1806" s="10" t="s">
        <v>768</v>
      </c>
      <c r="B1806" s="226" t="s">
        <v>1357</v>
      </c>
      <c r="C1806" s="10"/>
      <c r="D1806" s="14"/>
      <c r="E1806" s="155"/>
      <c r="F1806" s="10"/>
      <c r="G1806" s="17"/>
      <c r="H1806" s="10"/>
      <c r="I1806" s="17"/>
      <c r="J1806" s="82"/>
      <c r="K1806" s="340"/>
      <c r="L1806" s="344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>
      <c r="A1807" s="10" t="s">
        <v>768</v>
      </c>
      <c r="B1807" s="226" t="s">
        <v>1357</v>
      </c>
      <c r="C1807" s="10"/>
      <c r="D1807" s="14"/>
      <c r="E1807" s="155"/>
      <c r="F1807" s="10"/>
      <c r="G1807" s="17"/>
      <c r="H1807" s="10"/>
      <c r="I1807" s="17"/>
      <c r="J1807" s="82"/>
      <c r="K1807" s="340"/>
      <c r="L1807" s="344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>
      <c r="A1808" s="10" t="s">
        <v>768</v>
      </c>
      <c r="B1808" s="226" t="s">
        <v>1357</v>
      </c>
      <c r="C1808" s="10"/>
      <c r="D1808" s="14"/>
      <c r="E1808" s="155"/>
      <c r="F1808" s="10"/>
      <c r="G1808" s="17"/>
      <c r="H1808" s="10"/>
      <c r="I1808" s="17"/>
      <c r="J1808" s="82"/>
      <c r="K1808" s="340"/>
      <c r="L1808" s="344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>
      <c r="A1809" s="10" t="s">
        <v>768</v>
      </c>
      <c r="B1809" s="226" t="s">
        <v>1357</v>
      </c>
      <c r="C1809" s="10"/>
      <c r="D1809" s="14"/>
      <c r="E1809" s="155"/>
      <c r="F1809" s="10"/>
      <c r="G1809" s="17"/>
      <c r="H1809" s="10"/>
      <c r="I1809" s="17"/>
      <c r="J1809" s="82"/>
      <c r="K1809" s="340"/>
      <c r="L1809" s="344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>
      <c r="A1810" s="10" t="s">
        <v>768</v>
      </c>
      <c r="B1810" s="226" t="s">
        <v>1357</v>
      </c>
      <c r="C1810" s="10"/>
      <c r="D1810" s="14"/>
      <c r="E1810" s="155"/>
      <c r="F1810" s="10"/>
      <c r="G1810" s="17"/>
      <c r="H1810" s="10"/>
      <c r="I1810" s="17"/>
      <c r="J1810" s="82"/>
      <c r="K1810" s="340"/>
      <c r="L1810" s="344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>
      <c r="A1811" s="10" t="s">
        <v>768</v>
      </c>
      <c r="B1811" s="226" t="s">
        <v>1357</v>
      </c>
      <c r="C1811" s="10"/>
      <c r="D1811" s="14"/>
      <c r="E1811" s="155"/>
      <c r="F1811" s="10"/>
      <c r="G1811" s="17"/>
      <c r="H1811" s="10"/>
      <c r="I1811" s="17"/>
      <c r="J1811" s="82"/>
      <c r="K1811" s="340"/>
      <c r="L1811" s="344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>
      <c r="A1812" s="10" t="s">
        <v>768</v>
      </c>
      <c r="B1812" s="226" t="s">
        <v>1357</v>
      </c>
      <c r="C1812" s="10"/>
      <c r="D1812" s="14"/>
      <c r="E1812" s="155"/>
      <c r="F1812" s="10"/>
      <c r="G1812" s="17"/>
      <c r="H1812" s="10"/>
      <c r="I1812" s="17"/>
      <c r="J1812" s="82"/>
      <c r="K1812" s="340"/>
      <c r="L1812" s="344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>
      <c r="A1813" s="10" t="s">
        <v>768</v>
      </c>
      <c r="B1813" s="226" t="s">
        <v>1357</v>
      </c>
      <c r="C1813" s="10"/>
      <c r="D1813" s="14"/>
      <c r="E1813" s="155"/>
      <c r="F1813" s="10"/>
      <c r="G1813" s="17"/>
      <c r="H1813" s="10"/>
      <c r="I1813" s="17"/>
      <c r="J1813" s="82"/>
      <c r="K1813" s="340"/>
      <c r="L1813" s="344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>
      <c r="A1814" s="10" t="s">
        <v>768</v>
      </c>
      <c r="B1814" s="226" t="s">
        <v>1357</v>
      </c>
      <c r="C1814" s="10"/>
      <c r="D1814" s="14"/>
      <c r="E1814" s="155"/>
      <c r="F1814" s="10"/>
      <c r="G1814" s="17"/>
      <c r="H1814" s="10"/>
      <c r="I1814" s="17"/>
      <c r="J1814" s="82"/>
      <c r="K1814" s="340"/>
      <c r="L1814" s="344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>
      <c r="A1815" s="10" t="s">
        <v>768</v>
      </c>
      <c r="B1815" s="226" t="s">
        <v>1357</v>
      </c>
      <c r="C1815" s="10"/>
      <c r="D1815" s="14"/>
      <c r="E1815" s="155"/>
      <c r="F1815" s="10"/>
      <c r="G1815" s="17"/>
      <c r="H1815" s="10"/>
      <c r="I1815" s="17"/>
      <c r="J1815" s="82"/>
      <c r="K1815" s="340"/>
      <c r="L1815" s="344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>
      <c r="A1816" s="10" t="s">
        <v>768</v>
      </c>
      <c r="B1816" s="226" t="s">
        <v>1357</v>
      </c>
      <c r="C1816" s="10"/>
      <c r="D1816" s="14"/>
      <c r="E1816" s="155"/>
      <c r="F1816" s="10"/>
      <c r="G1816" s="17"/>
      <c r="H1816" s="10"/>
      <c r="I1816" s="17"/>
      <c r="J1816" s="82"/>
      <c r="K1816" s="340"/>
      <c r="L1816" s="344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>
      <c r="A1817" s="10" t="s">
        <v>768</v>
      </c>
      <c r="B1817" s="226" t="s">
        <v>1357</v>
      </c>
      <c r="C1817" s="10"/>
      <c r="D1817" s="14"/>
      <c r="E1817" s="155"/>
      <c r="F1817" s="10"/>
      <c r="G1817" s="17"/>
      <c r="H1817" s="10"/>
      <c r="I1817" s="17"/>
      <c r="J1817" s="82"/>
      <c r="K1817" s="340"/>
      <c r="L1817" s="344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>
      <c r="A1818" s="10" t="s">
        <v>768</v>
      </c>
      <c r="B1818" s="226" t="s">
        <v>1357</v>
      </c>
      <c r="C1818" s="10"/>
      <c r="D1818" s="14"/>
      <c r="E1818" s="155"/>
      <c r="F1818" s="10"/>
      <c r="G1818" s="17"/>
      <c r="H1818" s="10"/>
      <c r="I1818" s="17"/>
      <c r="J1818" s="82"/>
      <c r="K1818" s="340"/>
      <c r="L1818" s="344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>
      <c r="A1819" s="10" t="s">
        <v>768</v>
      </c>
      <c r="B1819" s="226" t="s">
        <v>1357</v>
      </c>
      <c r="C1819" s="10"/>
      <c r="D1819" s="14"/>
      <c r="E1819" s="155"/>
      <c r="F1819" s="10"/>
      <c r="G1819" s="17"/>
      <c r="H1819" s="10"/>
      <c r="I1819" s="17"/>
      <c r="J1819" s="82"/>
      <c r="K1819" s="340"/>
      <c r="L1819" s="344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>
      <c r="A1820" s="10" t="s">
        <v>768</v>
      </c>
      <c r="B1820" s="226" t="s">
        <v>1357</v>
      </c>
      <c r="C1820" s="10"/>
      <c r="D1820" s="14"/>
      <c r="E1820" s="155"/>
      <c r="F1820" s="10"/>
      <c r="G1820" s="17"/>
      <c r="H1820" s="10"/>
      <c r="I1820" s="17"/>
      <c r="J1820" s="82"/>
      <c r="K1820" s="340"/>
      <c r="L1820" s="344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>
      <c r="A1821" s="10" t="s">
        <v>768</v>
      </c>
      <c r="B1821" s="226" t="s">
        <v>1357</v>
      </c>
      <c r="C1821" s="10"/>
      <c r="D1821" s="14"/>
      <c r="E1821" s="155"/>
      <c r="F1821" s="10"/>
      <c r="G1821" s="17"/>
      <c r="H1821" s="10"/>
      <c r="I1821" s="17"/>
      <c r="J1821" s="82"/>
      <c r="K1821" s="340"/>
      <c r="L1821" s="344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>
      <c r="A1822" s="10" t="s">
        <v>768</v>
      </c>
      <c r="B1822" s="226" t="s">
        <v>1357</v>
      </c>
      <c r="C1822" s="10"/>
      <c r="D1822" s="14"/>
      <c r="E1822" s="155"/>
      <c r="F1822" s="10"/>
      <c r="G1822" s="17"/>
      <c r="H1822" s="10"/>
      <c r="I1822" s="17"/>
      <c r="J1822" s="82"/>
      <c r="K1822" s="340"/>
      <c r="L1822" s="344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>
      <c r="A1823" s="10" t="s">
        <v>768</v>
      </c>
      <c r="B1823" s="226" t="s">
        <v>1357</v>
      </c>
      <c r="C1823" s="10"/>
      <c r="D1823" s="14"/>
      <c r="E1823" s="155"/>
      <c r="F1823" s="10"/>
      <c r="G1823" s="17"/>
      <c r="H1823" s="10"/>
      <c r="I1823" s="17"/>
      <c r="J1823" s="82"/>
      <c r="K1823" s="340"/>
      <c r="L1823" s="344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>
      <c r="A1824" s="10" t="s">
        <v>768</v>
      </c>
      <c r="B1824" s="226" t="s">
        <v>1357</v>
      </c>
      <c r="C1824" s="10"/>
      <c r="D1824" s="14"/>
      <c r="E1824" s="155"/>
      <c r="F1824" s="10"/>
      <c r="G1824" s="17"/>
      <c r="H1824" s="10"/>
      <c r="I1824" s="17"/>
      <c r="J1824" s="82"/>
      <c r="K1824" s="340"/>
      <c r="L1824" s="344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>
      <c r="A1825" s="10" t="s">
        <v>768</v>
      </c>
      <c r="B1825" s="226" t="s">
        <v>1357</v>
      </c>
      <c r="C1825" s="10"/>
      <c r="D1825" s="14"/>
      <c r="E1825" s="155"/>
      <c r="F1825" s="10"/>
      <c r="G1825" s="17"/>
      <c r="H1825" s="10"/>
      <c r="I1825" s="17"/>
      <c r="J1825" s="82"/>
      <c r="K1825" s="340"/>
      <c r="L1825" s="344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>
      <c r="A1826" s="10" t="s">
        <v>768</v>
      </c>
      <c r="B1826" s="226" t="s">
        <v>1357</v>
      </c>
      <c r="C1826" s="10"/>
      <c r="D1826" s="14"/>
      <c r="E1826" s="155"/>
      <c r="F1826" s="10"/>
      <c r="G1826" s="17"/>
      <c r="H1826" s="10"/>
      <c r="I1826" s="17"/>
      <c r="J1826" s="82"/>
      <c r="K1826" s="340"/>
      <c r="L1826" s="344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>
      <c r="A1827" s="10" t="s">
        <v>768</v>
      </c>
      <c r="B1827" s="226" t="s">
        <v>1357</v>
      </c>
      <c r="C1827" s="10"/>
      <c r="D1827" s="14"/>
      <c r="E1827" s="155"/>
      <c r="F1827" s="10"/>
      <c r="G1827" s="17"/>
      <c r="H1827" s="10"/>
      <c r="I1827" s="17"/>
      <c r="J1827" s="82"/>
      <c r="K1827" s="340"/>
      <c r="L1827" s="344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>
      <c r="A1828" s="10" t="s">
        <v>768</v>
      </c>
      <c r="B1828" s="226" t="s">
        <v>1357</v>
      </c>
      <c r="C1828" s="10"/>
      <c r="D1828" s="14"/>
      <c r="E1828" s="155"/>
      <c r="F1828" s="10"/>
      <c r="G1828" s="17"/>
      <c r="H1828" s="10"/>
      <c r="I1828" s="17"/>
      <c r="J1828" s="82"/>
      <c r="K1828" s="340"/>
      <c r="L1828" s="344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>
      <c r="A1829" s="10" t="s">
        <v>768</v>
      </c>
      <c r="B1829" s="226" t="s">
        <v>1357</v>
      </c>
      <c r="C1829" s="10"/>
      <c r="D1829" s="14"/>
      <c r="E1829" s="155"/>
      <c r="F1829" s="10"/>
      <c r="G1829" s="17"/>
      <c r="H1829" s="10"/>
      <c r="I1829" s="17"/>
      <c r="J1829" s="82"/>
      <c r="K1829" s="340"/>
      <c r="L1829" s="344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>
      <c r="A1830" s="17" t="s">
        <v>768</v>
      </c>
      <c r="B1830" s="227"/>
      <c r="C1830" s="17"/>
      <c r="D1830" s="18"/>
      <c r="E1830" s="235"/>
      <c r="F1830" s="17"/>
      <c r="G1830" s="17"/>
      <c r="H1830" s="17"/>
      <c r="I1830" s="17"/>
      <c r="J1830" s="83"/>
      <c r="K1830" s="340"/>
      <c r="L1830" s="344"/>
      <c r="M1830" s="89"/>
      <c r="N1830" s="17"/>
      <c r="O1830" s="25"/>
      <c r="P1830" s="91"/>
      <c r="Q1830" s="177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>
      <c r="A1831" s="10" t="s">
        <v>252</v>
      </c>
      <c r="B1831" s="226" t="s">
        <v>1425</v>
      </c>
      <c r="C1831" s="14" t="s">
        <v>1428</v>
      </c>
      <c r="D1831" s="14"/>
      <c r="E1831" s="155"/>
      <c r="F1831" s="10"/>
      <c r="G1831" s="17"/>
      <c r="H1831" s="10"/>
      <c r="I1831" s="17"/>
      <c r="J1831" s="82"/>
      <c r="K1831" s="341">
        <v>0.419568</v>
      </c>
      <c r="L1831" s="344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Install Folding Door Exposed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>
      <c r="A1832" s="10" t="s">
        <v>252</v>
      </c>
      <c r="B1832" s="226" t="s">
        <v>1425</v>
      </c>
      <c r="C1832" s="14" t="s">
        <v>1426</v>
      </c>
      <c r="D1832" s="14"/>
      <c r="E1832" s="155"/>
      <c r="F1832" s="10"/>
      <c r="G1832" s="17"/>
      <c r="H1832" s="10"/>
      <c r="I1832" s="17"/>
      <c r="J1832" s="82"/>
      <c r="K1832" s="340"/>
      <c r="L1832" s="344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Install Folding Door Exposed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>
      <c r="A1833" s="10" t="s">
        <v>252</v>
      </c>
      <c r="B1833" s="226" t="s">
        <v>1425</v>
      </c>
      <c r="C1833" s="14" t="s">
        <v>1371</v>
      </c>
      <c r="D1833" s="14"/>
      <c r="E1833" s="155"/>
      <c r="F1833" s="10"/>
      <c r="G1833" s="17"/>
      <c r="H1833" s="10"/>
      <c r="I1833" s="17"/>
      <c r="J1833" s="82"/>
      <c r="K1833" s="341"/>
      <c r="L1833" s="344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Install Folding Door Exposed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>
      <c r="A1834" s="10" t="s">
        <v>252</v>
      </c>
      <c r="B1834" s="226" t="s">
        <v>1425</v>
      </c>
      <c r="C1834" s="14" t="s">
        <v>1427</v>
      </c>
      <c r="D1834" s="14"/>
      <c r="E1834" s="155"/>
      <c r="F1834" s="10"/>
      <c r="G1834" s="17"/>
      <c r="H1834" s="10"/>
      <c r="I1834" s="17"/>
      <c r="J1834" s="82"/>
      <c r="K1834" s="340"/>
      <c r="L1834" s="344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Install Folding Door Exposed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>
      <c r="A1835" s="10" t="s">
        <v>252</v>
      </c>
      <c r="B1835" s="226" t="s">
        <v>1425</v>
      </c>
      <c r="C1835" s="10"/>
      <c r="D1835" s="14"/>
      <c r="E1835" s="155"/>
      <c r="F1835" s="10"/>
      <c r="G1835" s="17"/>
      <c r="H1835" s="10"/>
      <c r="I1835" s="17"/>
      <c r="J1835" s="82"/>
      <c r="K1835" s="340"/>
      <c r="L1835" s="344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>
      <c r="A1836" s="10"/>
      <c r="B1836" s="226"/>
      <c r="C1836" s="10"/>
      <c r="D1836" s="14"/>
      <c r="E1836" s="155"/>
      <c r="F1836" s="10"/>
      <c r="G1836" s="17"/>
      <c r="H1836" s="10"/>
      <c r="I1836" s="17"/>
      <c r="J1836" s="82"/>
      <c r="K1836" s="340"/>
      <c r="L1836" s="344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>
      <c r="A1837" s="10"/>
      <c r="B1837" s="226"/>
      <c r="C1837" s="10"/>
      <c r="D1837" s="14"/>
      <c r="E1837" s="155"/>
      <c r="F1837" s="10"/>
      <c r="G1837" s="17"/>
      <c r="H1837" s="10"/>
      <c r="I1837" s="17"/>
      <c r="J1837" s="82"/>
      <c r="K1837" s="340"/>
      <c r="L1837" s="344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>
      <c r="A1838" s="10"/>
      <c r="B1838" s="226"/>
      <c r="C1838" s="10"/>
      <c r="D1838" s="14"/>
      <c r="E1838" s="155"/>
      <c r="F1838" s="10"/>
      <c r="G1838" s="17"/>
      <c r="H1838" s="10"/>
      <c r="I1838" s="17"/>
      <c r="J1838" s="82"/>
      <c r="K1838" s="340"/>
      <c r="L1838" s="344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>
      <c r="A1839" s="10"/>
      <c r="B1839" s="226"/>
      <c r="C1839" s="10"/>
      <c r="D1839" s="14"/>
      <c r="E1839" s="155"/>
      <c r="F1839" s="10"/>
      <c r="G1839" s="17"/>
      <c r="H1839" s="10"/>
      <c r="I1839" s="17"/>
      <c r="J1839" s="82"/>
      <c r="K1839" s="340"/>
      <c r="L1839" s="344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>
      <c r="A1840" s="10"/>
      <c r="B1840" s="226"/>
      <c r="C1840" s="10"/>
      <c r="D1840" s="14"/>
      <c r="E1840" s="155"/>
      <c r="F1840" s="10"/>
      <c r="G1840" s="17"/>
      <c r="H1840" s="10"/>
      <c r="I1840" s="17"/>
      <c r="J1840" s="82"/>
      <c r="K1840" s="340"/>
      <c r="L1840" s="344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>
      <c r="A1841" s="10"/>
      <c r="B1841" s="226"/>
      <c r="C1841" s="10"/>
      <c r="D1841" s="14"/>
      <c r="E1841" s="155"/>
      <c r="F1841" s="10"/>
      <c r="G1841" s="17"/>
      <c r="H1841" s="10"/>
      <c r="I1841" s="17"/>
      <c r="J1841" s="82"/>
      <c r="K1841" s="340"/>
      <c r="L1841" s="344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>
      <c r="A1842" s="10"/>
      <c r="B1842" s="226"/>
      <c r="C1842" s="10"/>
      <c r="D1842" s="14"/>
      <c r="E1842" s="155"/>
      <c r="F1842" s="10"/>
      <c r="G1842" s="17"/>
      <c r="H1842" s="10"/>
      <c r="I1842" s="17"/>
      <c r="J1842" s="82"/>
      <c r="K1842" s="340"/>
      <c r="L1842" s="344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>
      <c r="A1843" s="10"/>
      <c r="B1843" s="226"/>
      <c r="C1843" s="10"/>
      <c r="D1843" s="14"/>
      <c r="E1843" s="155"/>
      <c r="F1843" s="10"/>
      <c r="G1843" s="17"/>
      <c r="H1843" s="10"/>
      <c r="I1843" s="17"/>
      <c r="J1843" s="82"/>
      <c r="K1843" s="340"/>
      <c r="L1843" s="344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>
      <c r="A1844" s="10"/>
      <c r="B1844" s="226"/>
      <c r="C1844" s="10"/>
      <c r="D1844" s="14"/>
      <c r="E1844" s="155"/>
      <c r="F1844" s="10"/>
      <c r="G1844" s="17"/>
      <c r="H1844" s="10"/>
      <c r="I1844" s="17"/>
      <c r="J1844" s="82"/>
      <c r="K1844" s="340"/>
      <c r="L1844" s="344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>
      <c r="A1845" s="10"/>
      <c r="B1845" s="226"/>
      <c r="C1845" s="10"/>
      <c r="D1845" s="14"/>
      <c r="E1845" s="155"/>
      <c r="F1845" s="10"/>
      <c r="G1845" s="17"/>
      <c r="H1845" s="10"/>
      <c r="I1845" s="17"/>
      <c r="J1845" s="82"/>
      <c r="K1845" s="340"/>
      <c r="L1845" s="344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>
      <c r="A1846" s="10"/>
      <c r="B1846" s="226"/>
      <c r="C1846" s="10"/>
      <c r="D1846" s="14"/>
      <c r="E1846" s="155"/>
      <c r="F1846" s="10"/>
      <c r="G1846" s="17"/>
      <c r="H1846" s="10"/>
      <c r="I1846" s="17"/>
      <c r="J1846" s="82"/>
      <c r="K1846" s="340"/>
      <c r="L1846" s="344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>
      <c r="A1847" s="10"/>
      <c r="B1847" s="226"/>
      <c r="C1847" s="10"/>
      <c r="D1847" s="14"/>
      <c r="E1847" s="155"/>
      <c r="F1847" s="10"/>
      <c r="G1847" s="17"/>
      <c r="H1847" s="10"/>
      <c r="I1847" s="17"/>
      <c r="J1847" s="82"/>
      <c r="K1847" s="340"/>
      <c r="L1847" s="344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>
      <c r="A1848" s="10"/>
      <c r="B1848" s="226"/>
      <c r="C1848" s="10"/>
      <c r="D1848" s="14"/>
      <c r="E1848" s="155"/>
      <c r="F1848" s="10"/>
      <c r="G1848" s="17"/>
      <c r="H1848" s="10"/>
      <c r="I1848" s="17"/>
      <c r="J1848" s="82"/>
      <c r="K1848" s="340"/>
      <c r="L1848" s="344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>
      <c r="A1849" s="10"/>
      <c r="B1849" s="226"/>
      <c r="C1849" s="10"/>
      <c r="D1849" s="14"/>
      <c r="E1849" s="155"/>
      <c r="F1849" s="10"/>
      <c r="G1849" s="17"/>
      <c r="H1849" s="10"/>
      <c r="I1849" s="17"/>
      <c r="J1849" s="82"/>
      <c r="K1849" s="340"/>
      <c r="L1849" s="344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>
      <c r="A1850" s="10"/>
      <c r="B1850" s="226"/>
      <c r="C1850" s="10"/>
      <c r="D1850" s="14"/>
      <c r="E1850" s="155"/>
      <c r="F1850" s="10"/>
      <c r="G1850" s="17"/>
      <c r="H1850" s="10"/>
      <c r="I1850" s="17"/>
      <c r="J1850" s="82"/>
      <c r="K1850" s="340"/>
      <c r="L1850" s="344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>
      <c r="A1851" s="10"/>
      <c r="B1851" s="226"/>
      <c r="C1851" s="10"/>
      <c r="D1851" s="14"/>
      <c r="E1851" s="155"/>
      <c r="F1851" s="10"/>
      <c r="G1851" s="17"/>
      <c r="H1851" s="10"/>
      <c r="I1851" s="17"/>
      <c r="J1851" s="82"/>
      <c r="K1851" s="340"/>
      <c r="L1851" s="344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>
      <c r="A1852" s="10"/>
      <c r="B1852" s="226"/>
      <c r="C1852" s="10"/>
      <c r="D1852" s="14"/>
      <c r="E1852" s="155"/>
      <c r="F1852" s="10"/>
      <c r="G1852" s="17"/>
      <c r="H1852" s="10"/>
      <c r="I1852" s="17"/>
      <c r="J1852" s="82"/>
      <c r="K1852" s="340"/>
      <c r="L1852" s="344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>
      <c r="A1853" s="10"/>
      <c r="B1853" s="226"/>
      <c r="C1853" s="10"/>
      <c r="D1853" s="14"/>
      <c r="E1853" s="155"/>
      <c r="F1853" s="10"/>
      <c r="G1853" s="17"/>
      <c r="H1853" s="10"/>
      <c r="I1853" s="17"/>
      <c r="J1853" s="82"/>
      <c r="K1853" s="340"/>
      <c r="L1853" s="344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>
      <c r="A1854" s="10"/>
      <c r="B1854" s="226"/>
      <c r="C1854" s="10"/>
      <c r="D1854" s="14"/>
      <c r="E1854" s="155"/>
      <c r="F1854" s="10"/>
      <c r="G1854" s="17"/>
      <c r="H1854" s="10"/>
      <c r="I1854" s="17"/>
      <c r="J1854" s="82"/>
      <c r="K1854" s="340"/>
      <c r="L1854" s="344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>
      <c r="A1855" s="10"/>
      <c r="B1855" s="226"/>
      <c r="C1855" s="10"/>
      <c r="D1855" s="14"/>
      <c r="E1855" s="155"/>
      <c r="F1855" s="10"/>
      <c r="G1855" s="17"/>
      <c r="H1855" s="10"/>
      <c r="I1855" s="17"/>
      <c r="J1855" s="82"/>
      <c r="K1855" s="340"/>
      <c r="L1855" s="344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>
      <c r="A1856" s="10"/>
      <c r="B1856" s="226"/>
      <c r="C1856" s="10"/>
      <c r="D1856" s="14"/>
      <c r="E1856" s="155"/>
      <c r="F1856" s="10"/>
      <c r="G1856" s="17"/>
      <c r="H1856" s="10"/>
      <c r="I1856" s="17"/>
      <c r="J1856" s="82"/>
      <c r="K1856" s="340"/>
      <c r="L1856" s="344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>
      <c r="A1857" s="10"/>
      <c r="B1857" s="226"/>
      <c r="C1857" s="10"/>
      <c r="D1857" s="14"/>
      <c r="E1857" s="155"/>
      <c r="F1857" s="10"/>
      <c r="G1857" s="17"/>
      <c r="H1857" s="10"/>
      <c r="I1857" s="17"/>
      <c r="J1857" s="82"/>
      <c r="K1857" s="340"/>
      <c r="L1857" s="344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>
      <c r="A1858" s="10"/>
      <c r="B1858" s="226"/>
      <c r="C1858" s="10"/>
      <c r="D1858" s="14"/>
      <c r="E1858" s="155"/>
      <c r="F1858" s="10"/>
      <c r="G1858" s="17"/>
      <c r="H1858" s="10"/>
      <c r="I1858" s="17"/>
      <c r="J1858" s="82"/>
      <c r="K1858" s="340"/>
      <c r="L1858" s="344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>
      <c r="A1859" s="10"/>
      <c r="B1859" s="226"/>
      <c r="C1859" s="10"/>
      <c r="D1859" s="14"/>
      <c r="E1859" s="155"/>
      <c r="F1859" s="10"/>
      <c r="G1859" s="17"/>
      <c r="H1859" s="10"/>
      <c r="I1859" s="17"/>
      <c r="J1859" s="82"/>
      <c r="K1859" s="340"/>
      <c r="L1859" s="344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>
      <c r="A1860" s="10"/>
      <c r="B1860" s="226"/>
      <c r="C1860" s="10"/>
      <c r="D1860" s="14"/>
      <c r="E1860" s="155"/>
      <c r="F1860" s="10"/>
      <c r="G1860" s="17"/>
      <c r="H1860" s="10"/>
      <c r="I1860" s="17"/>
      <c r="J1860" s="82"/>
      <c r="K1860" s="340"/>
      <c r="L1860" s="344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>
      <c r="A1861" s="10"/>
      <c r="B1861" s="226"/>
      <c r="C1861" s="10"/>
      <c r="D1861" s="14"/>
      <c r="E1861" s="155"/>
      <c r="F1861" s="10"/>
      <c r="G1861" s="17"/>
      <c r="H1861" s="10"/>
      <c r="I1861" s="17"/>
      <c r="J1861" s="82"/>
      <c r="K1861" s="340"/>
      <c r="L1861" s="344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>
      <c r="A1862" s="10"/>
      <c r="B1862" s="226"/>
      <c r="C1862" s="10"/>
      <c r="D1862" s="14"/>
      <c r="E1862" s="155"/>
      <c r="F1862" s="10"/>
      <c r="G1862" s="17"/>
      <c r="H1862" s="10"/>
      <c r="I1862" s="17"/>
      <c r="J1862" s="82"/>
      <c r="K1862" s="340"/>
      <c r="L1862" s="344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>
      <c r="A1863" s="10"/>
      <c r="B1863" s="226"/>
      <c r="C1863" s="10"/>
      <c r="D1863" s="14"/>
      <c r="E1863" s="155"/>
      <c r="F1863" s="10"/>
      <c r="G1863" s="17"/>
      <c r="H1863" s="10"/>
      <c r="I1863" s="17"/>
      <c r="J1863" s="82"/>
      <c r="K1863" s="340"/>
      <c r="L1863" s="344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>
      <c r="A1864" s="10"/>
      <c r="B1864" s="226"/>
      <c r="C1864" s="10"/>
      <c r="D1864" s="14"/>
      <c r="E1864" s="155"/>
      <c r="F1864" s="10"/>
      <c r="G1864" s="17"/>
      <c r="H1864" s="10"/>
      <c r="I1864" s="17"/>
      <c r="J1864" s="82"/>
      <c r="K1864" s="340"/>
      <c r="L1864" s="344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>
      <c r="A1865" s="10"/>
      <c r="B1865" s="226"/>
      <c r="C1865" s="10"/>
      <c r="D1865" s="14"/>
      <c r="E1865" s="155"/>
      <c r="F1865" s="10"/>
      <c r="G1865" s="17"/>
      <c r="H1865" s="10"/>
      <c r="I1865" s="17"/>
      <c r="J1865" s="82"/>
      <c r="K1865" s="340"/>
      <c r="L1865" s="344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>
      <c r="A1866" s="10"/>
      <c r="B1866" s="226"/>
      <c r="C1866" s="10"/>
      <c r="D1866" s="14"/>
      <c r="E1866" s="155"/>
      <c r="F1866" s="10"/>
      <c r="G1866" s="17"/>
      <c r="H1866" s="10"/>
      <c r="I1866" s="17"/>
      <c r="J1866" s="82"/>
      <c r="K1866" s="340"/>
      <c r="L1866" s="344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>
      <c r="A1867" s="10"/>
      <c r="B1867" s="226"/>
      <c r="C1867" s="10"/>
      <c r="D1867" s="14"/>
      <c r="E1867" s="155"/>
      <c r="F1867" s="10"/>
      <c r="G1867" s="17"/>
      <c r="H1867" s="10"/>
      <c r="I1867" s="17"/>
      <c r="J1867" s="82"/>
      <c r="K1867" s="340"/>
      <c r="L1867" s="344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>
      <c r="A1868" s="10"/>
      <c r="B1868" s="226"/>
      <c r="C1868" s="10"/>
      <c r="D1868" s="14"/>
      <c r="E1868" s="155"/>
      <c r="F1868" s="10"/>
      <c r="G1868" s="17"/>
      <c r="H1868" s="10"/>
      <c r="I1868" s="17"/>
      <c r="J1868" s="82"/>
      <c r="K1868" s="340"/>
      <c r="L1868" s="344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>
      <c r="A1869" s="10"/>
      <c r="B1869" s="226"/>
      <c r="C1869" s="10"/>
      <c r="D1869" s="14"/>
      <c r="E1869" s="155"/>
      <c r="F1869" s="10"/>
      <c r="G1869" s="17"/>
      <c r="H1869" s="10"/>
      <c r="I1869" s="17"/>
      <c r="J1869" s="82"/>
      <c r="K1869" s="340"/>
      <c r="L1869" s="344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>
      <c r="A1870" s="10"/>
      <c r="B1870" s="226"/>
      <c r="C1870" s="10"/>
      <c r="D1870" s="14"/>
      <c r="E1870" s="155"/>
      <c r="F1870" s="10"/>
      <c r="G1870" s="17"/>
      <c r="H1870" s="10"/>
      <c r="I1870" s="17"/>
      <c r="J1870" s="82"/>
      <c r="K1870" s="340"/>
      <c r="L1870" s="344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>
      <c r="A1871" s="10"/>
      <c r="B1871" s="226"/>
      <c r="C1871" s="10"/>
      <c r="D1871" s="14"/>
      <c r="E1871" s="155"/>
      <c r="F1871" s="10"/>
      <c r="G1871" s="17"/>
      <c r="H1871" s="10"/>
      <c r="I1871" s="17"/>
      <c r="J1871" s="82"/>
      <c r="K1871" s="340"/>
      <c r="L1871" s="344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>
      <c r="A1872" s="10"/>
      <c r="B1872" s="226"/>
      <c r="C1872" s="10"/>
      <c r="D1872" s="14"/>
      <c r="E1872" s="155"/>
      <c r="F1872" s="10"/>
      <c r="G1872" s="17"/>
      <c r="H1872" s="10"/>
      <c r="I1872" s="17"/>
      <c r="J1872" s="82"/>
      <c r="K1872" s="340"/>
      <c r="L1872" s="344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>
      <c r="A1873" s="10"/>
      <c r="B1873" s="226"/>
      <c r="C1873" s="10"/>
      <c r="D1873" s="14"/>
      <c r="E1873" s="155"/>
      <c r="F1873" s="10"/>
      <c r="G1873" s="17"/>
      <c r="H1873" s="10"/>
      <c r="I1873" s="17"/>
      <c r="J1873" s="82"/>
      <c r="K1873" s="340"/>
      <c r="L1873" s="344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>
      <c r="A1874" s="10"/>
      <c r="B1874" s="226"/>
      <c r="C1874" s="10"/>
      <c r="D1874" s="14"/>
      <c r="E1874" s="155"/>
      <c r="F1874" s="10"/>
      <c r="G1874" s="17"/>
      <c r="H1874" s="10"/>
      <c r="I1874" s="17"/>
      <c r="J1874" s="82"/>
      <c r="K1874" s="340"/>
      <c r="L1874" s="344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>
      <c r="A1875" s="10"/>
      <c r="B1875" s="226"/>
      <c r="C1875" s="10"/>
      <c r="D1875" s="14"/>
      <c r="E1875" s="155"/>
      <c r="F1875" s="10"/>
      <c r="G1875" s="17"/>
      <c r="H1875" s="10"/>
      <c r="I1875" s="17"/>
      <c r="J1875" s="82"/>
      <c r="K1875" s="340"/>
      <c r="L1875" s="344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>
      <c r="A1876" s="10"/>
      <c r="B1876" s="226"/>
      <c r="C1876" s="10"/>
      <c r="D1876" s="14"/>
      <c r="E1876" s="155"/>
      <c r="F1876" s="10"/>
      <c r="G1876" s="17"/>
      <c r="H1876" s="10"/>
      <c r="I1876" s="17"/>
      <c r="J1876" s="82"/>
      <c r="K1876" s="340"/>
      <c r="L1876" s="344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>
      <c r="A1877" s="10"/>
      <c r="B1877" s="226"/>
      <c r="C1877" s="10"/>
      <c r="D1877" s="14"/>
      <c r="E1877" s="155"/>
      <c r="F1877" s="10"/>
      <c r="G1877" s="17"/>
      <c r="H1877" s="10"/>
      <c r="I1877" s="17"/>
      <c r="J1877" s="82"/>
      <c r="K1877" s="340"/>
      <c r="L1877" s="344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>
      <c r="A1878" s="10"/>
      <c r="B1878" s="226"/>
      <c r="C1878" s="10"/>
      <c r="D1878" s="14"/>
      <c r="E1878" s="155"/>
      <c r="F1878" s="10"/>
      <c r="G1878" s="17"/>
      <c r="H1878" s="10"/>
      <c r="I1878" s="17"/>
      <c r="J1878" s="82"/>
      <c r="K1878" s="340"/>
      <c r="L1878" s="344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>
      <c r="A1879" s="17" t="s">
        <v>768</v>
      </c>
      <c r="B1879" s="227"/>
      <c r="C1879" s="17"/>
      <c r="D1879" s="18"/>
      <c r="E1879" s="235"/>
      <c r="F1879" s="17"/>
      <c r="G1879" s="17"/>
      <c r="H1879" s="17"/>
      <c r="I1879" s="17"/>
      <c r="J1879" s="83"/>
      <c r="K1879" s="340"/>
      <c r="L1879" s="344"/>
      <c r="M1879" s="89"/>
      <c r="N1879" s="17"/>
      <c r="O1879" s="25"/>
      <c r="P1879" s="91"/>
      <c r="Q1879" s="177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>
      <c r="A1880" s="10" t="s">
        <v>1372</v>
      </c>
      <c r="B1880" s="226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5"/>
      <c r="F1880" s="10"/>
      <c r="G1880" s="17"/>
      <c r="H1880" s="10"/>
      <c r="I1880" s="17"/>
      <c r="J1880" s="82"/>
      <c r="K1880" s="341">
        <v>0.1</v>
      </c>
      <c r="L1880" s="344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P/C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>
      <c r="A1881" s="10" t="s">
        <v>1372</v>
      </c>
      <c r="B1881" s="226" t="s">
        <v>1373</v>
      </c>
      <c r="C1881" s="10" t="s">
        <v>1374</v>
      </c>
      <c r="D1881" s="36" t="str">
        <v>Black Aluminium Mesh 1.6mm</v>
      </c>
      <c r="E1881" s="155"/>
      <c r="F1881" s="10"/>
      <c r="G1881" s="17"/>
      <c r="H1881" s="10"/>
      <c r="I1881" s="17"/>
      <c r="J1881" s="82"/>
      <c r="K1881" s="340"/>
      <c r="L1881" s="344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>
      <c r="A1882" s="10" t="s">
        <v>1372</v>
      </c>
      <c r="B1882" s="226" t="s">
        <v>1373</v>
      </c>
      <c r="C1882" s="10" t="s">
        <v>1374</v>
      </c>
      <c r="D1882" s="36" t="str">
        <v>Black Aluminium Mesh 1.8mm</v>
      </c>
      <c r="E1882" s="155"/>
      <c r="F1882" s="10"/>
      <c r="G1882" s="17"/>
      <c r="H1882" s="10"/>
      <c r="I1882" s="17"/>
      <c r="J1882" s="82"/>
      <c r="K1882" s="340"/>
      <c r="L1882" s="344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>
      <c r="A1883" s="10" t="s">
        <v>1372</v>
      </c>
      <c r="B1883" s="226" t="s">
        <v>1373</v>
      </c>
      <c r="C1883" s="10" t="s">
        <v>1374</v>
      </c>
      <c r="D1883" s="36" t="str">
        <v>Black Stainless Steel Mesh 1.0mm</v>
      </c>
      <c r="E1883" s="155"/>
      <c r="F1883" s="10"/>
      <c r="G1883" s="17"/>
      <c r="H1883" s="10"/>
      <c r="I1883" s="17"/>
      <c r="J1883" s="82"/>
      <c r="K1883" s="340"/>
      <c r="L1883" s="344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>
      <c r="A1884" s="10" t="s">
        <v>1372</v>
      </c>
      <c r="B1884" s="226" t="s">
        <v>1373</v>
      </c>
      <c r="C1884" s="10" t="s">
        <v>1374</v>
      </c>
      <c r="D1884" s="36" t="str">
        <v/>
      </c>
      <c r="E1884" s="155"/>
      <c r="F1884" s="10"/>
      <c r="G1884" s="17"/>
      <c r="H1884" s="10"/>
      <c r="I1884" s="17"/>
      <c r="J1884" s="82"/>
      <c r="K1884" s="340"/>
      <c r="L1884" s="344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>
      <c r="A1885" s="10" t="s">
        <v>1372</v>
      </c>
      <c r="B1885" s="226" t="s">
        <v>1373</v>
      </c>
      <c r="C1885" s="10" t="s">
        <v>1374</v>
      </c>
      <c r="D1885" s="36" t="str">
        <v/>
      </c>
      <c r="E1885" s="155"/>
      <c r="F1885" s="10"/>
      <c r="G1885" s="17"/>
      <c r="H1885" s="10"/>
      <c r="I1885" s="17"/>
      <c r="J1885" s="82"/>
      <c r="K1885" s="340"/>
      <c r="L1885" s="344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>
      <c r="A1886" s="10" t="s">
        <v>1372</v>
      </c>
      <c r="B1886" s="226" t="s">
        <v>1373</v>
      </c>
      <c r="C1886" s="10" t="s">
        <v>1374</v>
      </c>
      <c r="D1886" s="36" t="str">
        <v/>
      </c>
      <c r="E1886" s="155"/>
      <c r="F1886" s="10"/>
      <c r="G1886" s="17"/>
      <c r="H1886" s="10"/>
      <c r="I1886" s="17"/>
      <c r="J1886" s="82"/>
      <c r="K1886" s="340"/>
      <c r="L1886" s="344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>
      <c r="A1887" s="10" t="s">
        <v>1372</v>
      </c>
      <c r="B1887" s="226" t="s">
        <v>1373</v>
      </c>
      <c r="C1887" s="10" t="s">
        <v>1374</v>
      </c>
      <c r="D1887" s="36" t="str">
        <v/>
      </c>
      <c r="E1887" s="155"/>
      <c r="F1887" s="10"/>
      <c r="G1887" s="17"/>
      <c r="H1887" s="10"/>
      <c r="I1887" s="17"/>
      <c r="J1887" s="82"/>
      <c r="K1887" s="340"/>
      <c r="L1887" s="344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>
      <c r="A1888" s="10" t="s">
        <v>1372</v>
      </c>
      <c r="B1888" s="226" t="s">
        <v>1373</v>
      </c>
      <c r="C1888" s="10" t="s">
        <v>1374</v>
      </c>
      <c r="D1888" s="36" t="str">
        <v/>
      </c>
      <c r="E1888" s="155"/>
      <c r="F1888" s="10"/>
      <c r="G1888" s="17"/>
      <c r="H1888" s="10"/>
      <c r="I1888" s="17"/>
      <c r="J1888" s="82"/>
      <c r="K1888" s="340"/>
      <c r="L1888" s="344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>
      <c r="A1889" s="10" t="s">
        <v>1372</v>
      </c>
      <c r="B1889" s="226" t="s">
        <v>1373</v>
      </c>
      <c r="C1889" s="10" t="s">
        <v>1374</v>
      </c>
      <c r="D1889" s="36" t="str">
        <v/>
      </c>
      <c r="E1889" s="155"/>
      <c r="F1889" s="10"/>
      <c r="G1889" s="17"/>
      <c r="H1889" s="10"/>
      <c r="I1889" s="17"/>
      <c r="J1889" s="82"/>
      <c r="K1889" s="340"/>
      <c r="L1889" s="344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>
      <c r="A1890" s="10" t="s">
        <v>1372</v>
      </c>
      <c r="B1890" s="226" t="s">
        <v>1373</v>
      </c>
      <c r="C1890" s="10" t="s">
        <v>1374</v>
      </c>
      <c r="D1890" s="36"/>
      <c r="E1890" s="155"/>
      <c r="F1890" s="10"/>
      <c r="G1890" s="17"/>
      <c r="H1890" s="10"/>
      <c r="I1890" s="17"/>
      <c r="J1890" s="82"/>
      <c r="K1890" s="340"/>
      <c r="L1890" s="344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>
      <c r="A1891" s="10" t="s">
        <v>1372</v>
      </c>
      <c r="B1891" s="226" t="s">
        <v>1373</v>
      </c>
      <c r="C1891" s="10" t="s">
        <v>1374</v>
      </c>
      <c r="D1891" s="36"/>
      <c r="E1891" s="155"/>
      <c r="F1891" s="10"/>
      <c r="G1891" s="17"/>
      <c r="H1891" s="10"/>
      <c r="I1891" s="17"/>
      <c r="J1891" s="82"/>
      <c r="K1891" s="340"/>
      <c r="L1891" s="344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>
      <c r="A1892" s="10" t="s">
        <v>1372</v>
      </c>
      <c r="B1892" s="226" t="s">
        <v>1373</v>
      </c>
      <c r="C1892" s="10" t="s">
        <v>1374</v>
      </c>
      <c r="D1892" s="36"/>
      <c r="E1892" s="155"/>
      <c r="F1892" s="10"/>
      <c r="G1892" s="17"/>
      <c r="H1892" s="10"/>
      <c r="I1892" s="17"/>
      <c r="J1892" s="82"/>
      <c r="K1892" s="340"/>
      <c r="L1892" s="344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>
      <c r="A1893" s="10" t="s">
        <v>1372</v>
      </c>
      <c r="B1893" s="226" t="s">
        <v>1373</v>
      </c>
      <c r="C1893" s="10" t="s">
        <v>1374</v>
      </c>
      <c r="D1893" s="36"/>
      <c r="E1893" s="155"/>
      <c r="F1893" s="10"/>
      <c r="G1893" s="17"/>
      <c r="H1893" s="10"/>
      <c r="I1893" s="17"/>
      <c r="J1893" s="82"/>
      <c r="K1893" s="340"/>
      <c r="L1893" s="344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>
      <c r="A1894" s="10" t="s">
        <v>1372</v>
      </c>
      <c r="B1894" s="226" t="s">
        <v>1373</v>
      </c>
      <c r="C1894" s="10" t="s">
        <v>1374</v>
      </c>
      <c r="D1894" s="36"/>
      <c r="E1894" s="155"/>
      <c r="F1894" s="10"/>
      <c r="G1894" s="17"/>
      <c r="H1894" s="10"/>
      <c r="I1894" s="17"/>
      <c r="J1894" s="82"/>
      <c r="K1894" s="340"/>
      <c r="L1894" s="344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>
      <c r="A1895" s="10" t="s">
        <v>1372</v>
      </c>
      <c r="B1895" s="226" t="s">
        <v>1373</v>
      </c>
      <c r="C1895" s="10" t="s">
        <v>1374</v>
      </c>
      <c r="D1895" s="36"/>
      <c r="E1895" s="155"/>
      <c r="F1895" s="10"/>
      <c r="G1895" s="17"/>
      <c r="H1895" s="10"/>
      <c r="I1895" s="17"/>
      <c r="J1895" s="82"/>
      <c r="K1895" s="340"/>
      <c r="L1895" s="344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>
      <c r="A1896" s="10" t="s">
        <v>1372</v>
      </c>
      <c r="B1896" s="226" t="s">
        <v>1373</v>
      </c>
      <c r="C1896" s="10" t="s">
        <v>1374</v>
      </c>
      <c r="D1896" s="36"/>
      <c r="E1896" s="155"/>
      <c r="F1896" s="10"/>
      <c r="G1896" s="17"/>
      <c r="H1896" s="10"/>
      <c r="I1896" s="17"/>
      <c r="J1896" s="82"/>
      <c r="K1896" s="340"/>
      <c r="L1896" s="344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>
      <c r="A1897" s="10" t="s">
        <v>1372</v>
      </c>
      <c r="B1897" s="226" t="s">
        <v>1373</v>
      </c>
      <c r="C1897" s="10" t="s">
        <v>1374</v>
      </c>
      <c r="D1897" s="36"/>
      <c r="E1897" s="155"/>
      <c r="F1897" s="10"/>
      <c r="G1897" s="17"/>
      <c r="H1897" s="10"/>
      <c r="I1897" s="17"/>
      <c r="J1897" s="82"/>
      <c r="K1897" s="340"/>
      <c r="L1897" s="344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>
      <c r="A1898" s="10" t="s">
        <v>1372</v>
      </c>
      <c r="B1898" s="226" t="s">
        <v>1373</v>
      </c>
      <c r="C1898" s="10" t="s">
        <v>1374</v>
      </c>
      <c r="D1898" s="36"/>
      <c r="E1898" s="155"/>
      <c r="F1898" s="10"/>
      <c r="G1898" s="17"/>
      <c r="H1898" s="10"/>
      <c r="I1898" s="17"/>
      <c r="J1898" s="82"/>
      <c r="K1898" s="340"/>
      <c r="L1898" s="344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>
      <c r="A1899" s="10" t="s">
        <v>1372</v>
      </c>
      <c r="B1899" s="226" t="s">
        <v>1373</v>
      </c>
      <c r="C1899" s="10" t="s">
        <v>1374</v>
      </c>
      <c r="D1899" s="36"/>
      <c r="E1899" s="155"/>
      <c r="F1899" s="10"/>
      <c r="G1899" s="17"/>
      <c r="H1899" s="10"/>
      <c r="I1899" s="17"/>
      <c r="J1899" s="82"/>
      <c r="K1899" s="340"/>
      <c r="L1899" s="344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>
      <c r="A1900" s="10" t="s">
        <v>1372</v>
      </c>
      <c r="B1900" s="226" t="s">
        <v>1373</v>
      </c>
      <c r="C1900" s="10" t="s">
        <v>1374</v>
      </c>
      <c r="D1900" s="36"/>
      <c r="E1900" s="155"/>
      <c r="F1900" s="10"/>
      <c r="G1900" s="17"/>
      <c r="H1900" s="10"/>
      <c r="I1900" s="17"/>
      <c r="J1900" s="82"/>
      <c r="K1900" s="340"/>
      <c r="L1900" s="344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>
      <c r="A1901" s="10" t="s">
        <v>1372</v>
      </c>
      <c r="B1901" s="226" t="s">
        <v>1373</v>
      </c>
      <c r="C1901" s="10" t="s">
        <v>1374</v>
      </c>
      <c r="D1901" s="36"/>
      <c r="E1901" s="155"/>
      <c r="F1901" s="10"/>
      <c r="G1901" s="17"/>
      <c r="H1901" s="10"/>
      <c r="I1901" s="17"/>
      <c r="J1901" s="82"/>
      <c r="K1901" s="340"/>
      <c r="L1901" s="344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>
      <c r="A1902" s="10" t="s">
        <v>1372</v>
      </c>
      <c r="B1902" s="226" t="s">
        <v>1373</v>
      </c>
      <c r="C1902" s="10"/>
      <c r="D1902" s="36"/>
      <c r="E1902" s="155"/>
      <c r="F1902" s="10"/>
      <c r="G1902" s="17"/>
      <c r="H1902" s="10"/>
      <c r="I1902" s="17"/>
      <c r="J1902" s="82"/>
      <c r="K1902" s="340"/>
      <c r="L1902" s="344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>
      <c r="A1903" s="10" t="s">
        <v>1372</v>
      </c>
      <c r="B1903" s="226" t="s">
        <v>1373</v>
      </c>
      <c r="C1903" s="10"/>
      <c r="D1903" s="36"/>
      <c r="E1903" s="155"/>
      <c r="F1903" s="10"/>
      <c r="G1903" s="17"/>
      <c r="H1903" s="10"/>
      <c r="I1903" s="17"/>
      <c r="J1903" s="82"/>
      <c r="K1903" s="340"/>
      <c r="L1903" s="344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>
      <c r="A1904" s="10"/>
      <c r="B1904" s="226"/>
      <c r="C1904" s="10"/>
      <c r="D1904" s="14"/>
      <c r="E1904" s="155"/>
      <c r="F1904" s="10"/>
      <c r="G1904" s="17"/>
      <c r="H1904" s="10"/>
      <c r="I1904" s="17"/>
      <c r="J1904" s="82"/>
      <c r="K1904" s="340"/>
      <c r="L1904" s="344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>
      <c r="A1905" s="10"/>
      <c r="B1905" s="226"/>
      <c r="C1905" s="10"/>
      <c r="D1905" s="14"/>
      <c r="E1905" s="155"/>
      <c r="F1905" s="10"/>
      <c r="G1905" s="17"/>
      <c r="H1905" s="10"/>
      <c r="I1905" s="17"/>
      <c r="J1905" s="82"/>
      <c r="K1905" s="340"/>
      <c r="L1905" s="344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>
      <c r="A1906" s="10"/>
      <c r="B1906" s="226"/>
      <c r="C1906" s="10"/>
      <c r="D1906" s="14"/>
      <c r="E1906" s="155"/>
      <c r="F1906" s="10"/>
      <c r="G1906" s="17"/>
      <c r="H1906" s="10"/>
      <c r="I1906" s="17"/>
      <c r="J1906" s="82"/>
      <c r="K1906" s="340"/>
      <c r="L1906" s="344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>
      <c r="A1907" s="10"/>
      <c r="B1907" s="226"/>
      <c r="C1907" s="10"/>
      <c r="D1907" s="14"/>
      <c r="E1907" s="155"/>
      <c r="F1907" s="10"/>
      <c r="G1907" s="17"/>
      <c r="H1907" s="10"/>
      <c r="I1907" s="17"/>
      <c r="J1907" s="82"/>
      <c r="K1907" s="340"/>
      <c r="L1907" s="344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>
      <c r="A1908" s="10"/>
      <c r="B1908" s="226"/>
      <c r="C1908" s="10"/>
      <c r="D1908" s="14"/>
      <c r="E1908" s="155"/>
      <c r="F1908" s="10"/>
      <c r="G1908" s="17"/>
      <c r="H1908" s="10"/>
      <c r="I1908" s="17"/>
      <c r="J1908" s="82"/>
      <c r="K1908" s="340"/>
      <c r="L1908" s="344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>
      <c r="A1909" s="10"/>
      <c r="B1909" s="226"/>
      <c r="C1909" s="10"/>
      <c r="D1909" s="14"/>
      <c r="E1909" s="155"/>
      <c r="F1909" s="10"/>
      <c r="G1909" s="17"/>
      <c r="H1909" s="10"/>
      <c r="I1909" s="17"/>
      <c r="J1909" s="82"/>
      <c r="K1909" s="340"/>
      <c r="L1909" s="344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>
      <c r="A1910" s="10"/>
      <c r="B1910" s="226"/>
      <c r="C1910" s="10"/>
      <c r="D1910" s="14"/>
      <c r="E1910" s="155"/>
      <c r="F1910" s="10"/>
      <c r="G1910" s="17"/>
      <c r="H1910" s="10"/>
      <c r="I1910" s="17"/>
      <c r="J1910" s="82"/>
      <c r="K1910" s="340"/>
      <c r="L1910" s="344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>
      <c r="A1911" s="10"/>
      <c r="B1911" s="226"/>
      <c r="C1911" s="10"/>
      <c r="D1911" s="14"/>
      <c r="E1911" s="155"/>
      <c r="F1911" s="10"/>
      <c r="G1911" s="17"/>
      <c r="H1911" s="10"/>
      <c r="I1911" s="17"/>
      <c r="J1911" s="82"/>
      <c r="K1911" s="340"/>
      <c r="L1911" s="344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>
      <c r="A1912" s="10"/>
      <c r="B1912" s="226"/>
      <c r="C1912" s="10"/>
      <c r="D1912" s="14"/>
      <c r="E1912" s="155"/>
      <c r="F1912" s="10"/>
      <c r="G1912" s="17"/>
      <c r="H1912" s="10"/>
      <c r="I1912" s="17"/>
      <c r="J1912" s="82"/>
      <c r="K1912" s="340"/>
      <c r="L1912" s="344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>
      <c r="A1913" s="10"/>
      <c r="B1913" s="226"/>
      <c r="C1913" s="10"/>
      <c r="D1913" s="14"/>
      <c r="E1913" s="155"/>
      <c r="F1913" s="10"/>
      <c r="G1913" s="17"/>
      <c r="H1913" s="10"/>
      <c r="I1913" s="17"/>
      <c r="J1913" s="82"/>
      <c r="K1913" s="340"/>
      <c r="L1913" s="344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>
      <c r="A1914" s="10"/>
      <c r="B1914" s="226"/>
      <c r="C1914" s="10"/>
      <c r="D1914" s="14"/>
      <c r="E1914" s="155"/>
      <c r="F1914" s="10"/>
      <c r="G1914" s="17"/>
      <c r="H1914" s="10"/>
      <c r="I1914" s="17"/>
      <c r="J1914" s="82"/>
      <c r="K1914" s="340"/>
      <c r="L1914" s="344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>
      <c r="A1915" s="10"/>
      <c r="B1915" s="226"/>
      <c r="C1915" s="10"/>
      <c r="D1915" s="14"/>
      <c r="E1915" s="155"/>
      <c r="F1915" s="10"/>
      <c r="G1915" s="17"/>
      <c r="H1915" s="10"/>
      <c r="I1915" s="17"/>
      <c r="J1915" s="82"/>
      <c r="K1915" s="340"/>
      <c r="L1915" s="344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>
      <c r="A1916" s="10"/>
      <c r="B1916" s="226"/>
      <c r="C1916" s="10"/>
      <c r="D1916" s="14"/>
      <c r="E1916" s="155"/>
      <c r="F1916" s="10"/>
      <c r="G1916" s="17"/>
      <c r="H1916" s="10"/>
      <c r="I1916" s="17"/>
      <c r="J1916" s="82"/>
      <c r="K1916" s="340"/>
      <c r="L1916" s="344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>
      <c r="A1917" s="10"/>
      <c r="B1917" s="226"/>
      <c r="C1917" s="10"/>
      <c r="D1917" s="14"/>
      <c r="E1917" s="155"/>
      <c r="F1917" s="10"/>
      <c r="G1917" s="17"/>
      <c r="H1917" s="10"/>
      <c r="I1917" s="17"/>
      <c r="J1917" s="82"/>
      <c r="K1917" s="340"/>
      <c r="L1917" s="344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>
      <c r="A1918" s="10"/>
      <c r="B1918" s="226"/>
      <c r="C1918" s="10"/>
      <c r="D1918" s="14"/>
      <c r="E1918" s="155"/>
      <c r="F1918" s="10"/>
      <c r="G1918" s="17"/>
      <c r="H1918" s="10"/>
      <c r="I1918" s="17"/>
      <c r="J1918" s="82"/>
      <c r="K1918" s="340"/>
      <c r="L1918" s="344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>
      <c r="A1919" s="10"/>
      <c r="B1919" s="226"/>
      <c r="C1919" s="10"/>
      <c r="D1919" s="14"/>
      <c r="E1919" s="155"/>
      <c r="F1919" s="10"/>
      <c r="G1919" s="17"/>
      <c r="H1919" s="10"/>
      <c r="I1919" s="17"/>
      <c r="J1919" s="82"/>
      <c r="K1919" s="340"/>
      <c r="L1919" s="344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>
      <c r="A1920" s="10"/>
      <c r="B1920" s="226"/>
      <c r="C1920" s="10"/>
      <c r="D1920" s="14"/>
      <c r="E1920" s="155"/>
      <c r="F1920" s="10"/>
      <c r="G1920" s="17"/>
      <c r="H1920" s="10"/>
      <c r="I1920" s="17"/>
      <c r="J1920" s="82"/>
      <c r="K1920" s="340"/>
      <c r="L1920" s="344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>
      <c r="A1921" s="10"/>
      <c r="B1921" s="226"/>
      <c r="C1921" s="10"/>
      <c r="D1921" s="14"/>
      <c r="E1921" s="155"/>
      <c r="F1921" s="10"/>
      <c r="G1921" s="17"/>
      <c r="H1921" s="10"/>
      <c r="I1921" s="17"/>
      <c r="J1921" s="82"/>
      <c r="K1921" s="340"/>
      <c r="L1921" s="344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>
      <c r="A1922" s="10"/>
      <c r="B1922" s="226"/>
      <c r="C1922" s="10"/>
      <c r="D1922" s="14"/>
      <c r="E1922" s="155"/>
      <c r="F1922" s="10"/>
      <c r="G1922" s="17"/>
      <c r="H1922" s="10"/>
      <c r="I1922" s="17"/>
      <c r="J1922" s="82"/>
      <c r="K1922" s="340"/>
      <c r="L1922" s="344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>
      <c r="A1923" s="10"/>
      <c r="B1923" s="226"/>
      <c r="C1923" s="10"/>
      <c r="D1923" s="14"/>
      <c r="E1923" s="155"/>
      <c r="F1923" s="10"/>
      <c r="G1923" s="17"/>
      <c r="H1923" s="10"/>
      <c r="I1923" s="17"/>
      <c r="J1923" s="82"/>
      <c r="K1923" s="340"/>
      <c r="L1923" s="344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>
      <c r="A1924" s="10"/>
      <c r="B1924" s="226"/>
      <c r="C1924" s="10"/>
      <c r="D1924" s="14"/>
      <c r="E1924" s="155"/>
      <c r="F1924" s="10"/>
      <c r="G1924" s="17"/>
      <c r="H1924" s="10"/>
      <c r="I1924" s="17"/>
      <c r="J1924" s="82"/>
      <c r="K1924" s="340"/>
      <c r="L1924" s="344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>
      <c r="A1925" s="10"/>
      <c r="B1925" s="226"/>
      <c r="C1925" s="10"/>
      <c r="D1925" s="14"/>
      <c r="E1925" s="155"/>
      <c r="F1925" s="10"/>
      <c r="G1925" s="17"/>
      <c r="H1925" s="10"/>
      <c r="I1925" s="17"/>
      <c r="J1925" s="82"/>
      <c r="K1925" s="340"/>
      <c r="L1925" s="344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>
      <c r="A1926" s="10"/>
      <c r="B1926" s="226"/>
      <c r="C1926" s="10"/>
      <c r="D1926" s="14"/>
      <c r="E1926" s="155"/>
      <c r="F1926" s="10"/>
      <c r="G1926" s="17"/>
      <c r="H1926" s="10"/>
      <c r="I1926" s="17"/>
      <c r="J1926" s="82"/>
      <c r="K1926" s="340"/>
      <c r="L1926" s="344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>
      <c r="A1927" s="10"/>
      <c r="B1927" s="226"/>
      <c r="C1927" s="10"/>
      <c r="D1927" s="14"/>
      <c r="E1927" s="155"/>
      <c r="F1927" s="10"/>
      <c r="G1927" s="17"/>
      <c r="H1927" s="10"/>
      <c r="I1927" s="17"/>
      <c r="J1927" s="82"/>
      <c r="K1927" s="340"/>
      <c r="L1927" s="344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>
      <c r="A1928" s="10"/>
      <c r="B1928" s="226"/>
      <c r="C1928" s="10"/>
      <c r="D1928" s="14"/>
      <c r="E1928" s="155"/>
      <c r="F1928" s="10"/>
      <c r="G1928" s="17"/>
      <c r="H1928" s="10"/>
      <c r="I1928" s="17"/>
      <c r="J1928" s="82"/>
      <c r="K1928" s="340"/>
      <c r="L1928" s="344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>
      <c r="A1929" s="10"/>
      <c r="B1929" s="226"/>
      <c r="C1929" s="10"/>
      <c r="D1929" s="14"/>
      <c r="E1929" s="155"/>
      <c r="F1929" s="10"/>
      <c r="G1929" s="17"/>
      <c r="H1929" s="10"/>
      <c r="I1929" s="17"/>
      <c r="J1929" s="82"/>
      <c r="K1929" s="340"/>
      <c r="L1929" s="344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>
      <c r="A1930" s="10"/>
      <c r="B1930" s="226"/>
      <c r="C1930" s="10"/>
      <c r="D1930" s="14"/>
      <c r="E1930" s="155"/>
      <c r="F1930" s="10"/>
      <c r="G1930" s="17"/>
      <c r="H1930" s="10"/>
      <c r="I1930" s="17"/>
      <c r="J1930" s="82"/>
      <c r="K1930" s="340"/>
      <c r="L1930" s="344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>
      <c r="A1931" s="10"/>
      <c r="B1931" s="226"/>
      <c r="C1931" s="10"/>
      <c r="D1931" s="14"/>
      <c r="E1931" s="155"/>
      <c r="F1931" s="10"/>
      <c r="G1931" s="17"/>
      <c r="H1931" s="10"/>
      <c r="I1931" s="17"/>
      <c r="J1931" s="82"/>
      <c r="K1931" s="340"/>
      <c r="L1931" s="344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>
      <c r="A1932" s="10"/>
      <c r="B1932" s="226"/>
      <c r="C1932" s="10"/>
      <c r="D1932" s="14"/>
      <c r="E1932" s="155"/>
      <c r="F1932" s="10"/>
      <c r="G1932" s="17"/>
      <c r="H1932" s="10"/>
      <c r="I1932" s="17"/>
      <c r="J1932" s="82"/>
      <c r="K1932" s="340"/>
      <c r="L1932" s="344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>
      <c r="A1933" s="10"/>
      <c r="B1933" s="226"/>
      <c r="C1933" s="10"/>
      <c r="D1933" s="14"/>
      <c r="E1933" s="155"/>
      <c r="F1933" s="10"/>
      <c r="G1933" s="17"/>
      <c r="H1933" s="10"/>
      <c r="I1933" s="17"/>
      <c r="J1933" s="82"/>
      <c r="K1933" s="340"/>
      <c r="L1933" s="344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>
      <c r="A1934" s="10"/>
      <c r="B1934" s="226"/>
      <c r="C1934" s="10"/>
      <c r="D1934" s="14"/>
      <c r="E1934" s="155"/>
      <c r="F1934" s="10"/>
      <c r="G1934" s="17"/>
      <c r="H1934" s="10"/>
      <c r="I1934" s="17"/>
      <c r="J1934" s="82"/>
      <c r="K1934" s="340"/>
      <c r="L1934" s="344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>
      <c r="A1935" s="10"/>
      <c r="B1935" s="226"/>
      <c r="C1935" s="10"/>
      <c r="D1935" s="14"/>
      <c r="E1935" s="155"/>
      <c r="F1935" s="10"/>
      <c r="G1935" s="17"/>
      <c r="H1935" s="10"/>
      <c r="I1935" s="17"/>
      <c r="J1935" s="82"/>
      <c r="K1935" s="340"/>
      <c r="L1935" s="344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>
      <c r="A1936" s="10"/>
      <c r="B1936" s="226"/>
      <c r="C1936" s="10"/>
      <c r="D1936" s="14"/>
      <c r="E1936" s="155"/>
      <c r="F1936" s="10"/>
      <c r="G1936" s="17"/>
      <c r="H1936" s="10"/>
      <c r="I1936" s="17"/>
      <c r="J1936" s="82"/>
      <c r="K1936" s="340"/>
      <c r="L1936" s="344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>
      <c r="A1937" s="10"/>
      <c r="B1937" s="226"/>
      <c r="C1937" s="10"/>
      <c r="D1937" s="14"/>
      <c r="E1937" s="155"/>
      <c r="F1937" s="10"/>
      <c r="G1937" s="17"/>
      <c r="H1937" s="10"/>
      <c r="I1937" s="17"/>
      <c r="J1937" s="82"/>
      <c r="K1937" s="340"/>
      <c r="L1937" s="344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>
      <c r="A1938" s="10"/>
      <c r="B1938" s="226"/>
      <c r="C1938" s="10"/>
      <c r="D1938" s="14"/>
      <c r="E1938" s="155"/>
      <c r="F1938" s="10"/>
      <c r="G1938" s="17"/>
      <c r="H1938" s="10"/>
      <c r="I1938" s="17"/>
      <c r="J1938" s="82"/>
      <c r="K1938" s="340"/>
      <c r="L1938" s="344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>
      <c r="A1939" s="10"/>
      <c r="B1939" s="226"/>
      <c r="C1939" s="10"/>
      <c r="D1939" s="14"/>
      <c r="E1939" s="155"/>
      <c r="F1939" s="10"/>
      <c r="G1939" s="17"/>
      <c r="H1939" s="10"/>
      <c r="I1939" s="17"/>
      <c r="J1939" s="82"/>
      <c r="K1939" s="340"/>
      <c r="L1939" s="344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>
      <c r="A1940" s="10"/>
      <c r="B1940" s="226"/>
      <c r="C1940" s="10"/>
      <c r="D1940" s="14"/>
      <c r="E1940" s="155"/>
      <c r="F1940" s="10"/>
      <c r="G1940" s="17"/>
      <c r="H1940" s="10"/>
      <c r="I1940" s="17"/>
      <c r="J1940" s="82"/>
      <c r="K1940" s="340"/>
      <c r="L1940" s="344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>
      <c r="A1941" s="10"/>
      <c r="B1941" s="226"/>
      <c r="C1941" s="10"/>
      <c r="D1941" s="14"/>
      <c r="E1941" s="155"/>
      <c r="F1941" s="10"/>
      <c r="G1941" s="17"/>
      <c r="H1941" s="10"/>
      <c r="I1941" s="17"/>
      <c r="J1941" s="82"/>
      <c r="K1941" s="340"/>
      <c r="L1941" s="344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>
      <c r="A1942" s="10"/>
      <c r="B1942" s="226"/>
      <c r="C1942" s="10"/>
      <c r="D1942" s="14"/>
      <c r="E1942" s="155"/>
      <c r="F1942" s="10"/>
      <c r="G1942" s="17"/>
      <c r="H1942" s="10"/>
      <c r="I1942" s="17"/>
      <c r="J1942" s="82"/>
      <c r="K1942" s="340"/>
      <c r="L1942" s="344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>
      <c r="A1943" s="10"/>
      <c r="B1943" s="226"/>
      <c r="C1943" s="10"/>
      <c r="D1943" s="14"/>
      <c r="E1943" s="155"/>
      <c r="F1943" s="10"/>
      <c r="G1943" s="17"/>
      <c r="H1943" s="10"/>
      <c r="I1943" s="17"/>
      <c r="J1943" s="82"/>
      <c r="K1943" s="340"/>
      <c r="L1943" s="344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>
      <c r="A1944" s="10"/>
      <c r="B1944" s="226"/>
      <c r="C1944" s="10"/>
      <c r="D1944" s="14"/>
      <c r="E1944" s="155"/>
      <c r="F1944" s="10"/>
      <c r="G1944" s="17"/>
      <c r="H1944" s="10"/>
      <c r="I1944" s="17"/>
      <c r="J1944" s="82"/>
      <c r="K1944" s="340"/>
      <c r="L1944" s="344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>
      <c r="A1945" s="10"/>
      <c r="B1945" s="226"/>
      <c r="C1945" s="10"/>
      <c r="D1945" s="14"/>
      <c r="E1945" s="155"/>
      <c r="F1945" s="10"/>
      <c r="G1945" s="17"/>
      <c r="H1945" s="10"/>
      <c r="I1945" s="17"/>
      <c r="J1945" s="82"/>
      <c r="K1945" s="340"/>
      <c r="L1945" s="344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>
      <c r="A1946" s="10"/>
      <c r="B1946" s="226"/>
      <c r="C1946" s="10"/>
      <c r="D1946" s="14"/>
      <c r="E1946" s="155"/>
      <c r="F1946" s="10"/>
      <c r="G1946" s="17"/>
      <c r="H1946" s="10"/>
      <c r="I1946" s="17"/>
      <c r="J1946" s="82"/>
      <c r="K1946" s="340"/>
      <c r="L1946" s="344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>
      <c r="A1947" s="10"/>
      <c r="B1947" s="226"/>
      <c r="C1947" s="10"/>
      <c r="D1947" s="14"/>
      <c r="E1947" s="155"/>
      <c r="F1947" s="10"/>
      <c r="G1947" s="17"/>
      <c r="H1947" s="10"/>
      <c r="I1947" s="17"/>
      <c r="J1947" s="82"/>
      <c r="K1947" s="340"/>
      <c r="L1947" s="344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>
      <c r="A1948" s="10"/>
      <c r="B1948" s="226"/>
      <c r="C1948" s="10"/>
      <c r="D1948" s="14"/>
      <c r="E1948" s="155"/>
      <c r="F1948" s="10"/>
      <c r="G1948" s="17"/>
      <c r="H1948" s="10"/>
      <c r="I1948" s="17"/>
      <c r="J1948" s="82"/>
      <c r="K1948" s="340"/>
      <c r="L1948" s="344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>
      <c r="A1949" s="10"/>
      <c r="B1949" s="226"/>
      <c r="C1949" s="10"/>
      <c r="D1949" s="14"/>
      <c r="E1949" s="155"/>
      <c r="F1949" s="10"/>
      <c r="G1949" s="17"/>
      <c r="H1949" s="10"/>
      <c r="I1949" s="17"/>
      <c r="J1949" s="82"/>
      <c r="K1949" s="340"/>
      <c r="L1949" s="344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>
      <c r="A1950" s="10"/>
      <c r="B1950" s="226"/>
      <c r="C1950" s="10"/>
      <c r="D1950" s="14"/>
      <c r="E1950" s="155"/>
      <c r="F1950" s="10"/>
      <c r="G1950" s="17"/>
      <c r="H1950" s="10"/>
      <c r="I1950" s="17"/>
      <c r="J1950" s="82"/>
      <c r="K1950" s="340"/>
      <c r="L1950" s="344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>
      <c r="A1951" s="10"/>
      <c r="B1951" s="226"/>
      <c r="C1951" s="10"/>
      <c r="D1951" s="14"/>
      <c r="E1951" s="155"/>
      <c r="F1951" s="10"/>
      <c r="G1951" s="17"/>
      <c r="H1951" s="10"/>
      <c r="I1951" s="17"/>
      <c r="J1951" s="82"/>
      <c r="K1951" s="340"/>
      <c r="L1951" s="344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>
      <c r="A1952" s="10"/>
      <c r="B1952" s="226"/>
      <c r="C1952" s="10"/>
      <c r="D1952" s="14"/>
      <c r="E1952" s="155"/>
      <c r="F1952" s="10"/>
      <c r="G1952" s="17"/>
      <c r="H1952" s="10"/>
      <c r="I1952" s="17"/>
      <c r="J1952" s="82"/>
      <c r="K1952" s="340"/>
      <c r="L1952" s="344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>
      <c r="A1953" s="10"/>
      <c r="B1953" s="226"/>
      <c r="C1953" s="10"/>
      <c r="D1953" s="14"/>
      <c r="E1953" s="155"/>
      <c r="F1953" s="10"/>
      <c r="G1953" s="17"/>
      <c r="H1953" s="10"/>
      <c r="I1953" s="17"/>
      <c r="J1953" s="82"/>
      <c r="K1953" s="340"/>
      <c r="L1953" s="344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>
      <c r="A1954" s="10"/>
      <c r="B1954" s="226"/>
      <c r="C1954" s="10"/>
      <c r="D1954" s="14"/>
      <c r="E1954" s="155"/>
      <c r="F1954" s="10"/>
      <c r="G1954" s="17"/>
      <c r="H1954" s="10"/>
      <c r="I1954" s="17"/>
      <c r="J1954" s="82"/>
      <c r="K1954" s="340"/>
      <c r="L1954" s="344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>
      <c r="A1955" s="10"/>
      <c r="B1955" s="226"/>
      <c r="C1955" s="10"/>
      <c r="D1955" s="14"/>
      <c r="E1955" s="155"/>
      <c r="F1955" s="10"/>
      <c r="G1955" s="17"/>
      <c r="H1955" s="10"/>
      <c r="I1955" s="17"/>
      <c r="J1955" s="82"/>
      <c r="K1955" s="340"/>
      <c r="L1955" s="344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>
      <c r="A1956" s="10"/>
      <c r="B1956" s="226"/>
      <c r="C1956" s="10"/>
      <c r="D1956" s="14"/>
      <c r="E1956" s="155"/>
      <c r="F1956" s="10"/>
      <c r="G1956" s="17"/>
      <c r="H1956" s="10"/>
      <c r="I1956" s="17"/>
      <c r="J1956" s="82"/>
      <c r="K1956" s="340"/>
      <c r="L1956" s="344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>
      <c r="A1957" s="10"/>
      <c r="B1957" s="226"/>
      <c r="C1957" s="10"/>
      <c r="D1957" s="14"/>
      <c r="E1957" s="155"/>
      <c r="F1957" s="10"/>
      <c r="G1957" s="17"/>
      <c r="H1957" s="10"/>
      <c r="I1957" s="17"/>
      <c r="J1957" s="82"/>
      <c r="K1957" s="340"/>
      <c r="L1957" s="344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>
      <c r="A1958" s="10"/>
      <c r="B1958" s="226"/>
      <c r="C1958" s="10"/>
      <c r="D1958" s="14"/>
      <c r="E1958" s="155"/>
      <c r="F1958" s="10"/>
      <c r="G1958" s="17"/>
      <c r="H1958" s="10"/>
      <c r="I1958" s="17"/>
      <c r="J1958" s="82"/>
      <c r="K1958" s="341"/>
      <c r="L1958" s="344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>
      <c r="A1959" s="10"/>
      <c r="B1959" s="226"/>
      <c r="C1959" s="10"/>
      <c r="D1959" s="14"/>
      <c r="E1959" s="155"/>
      <c r="F1959" s="10"/>
      <c r="G1959" s="17"/>
      <c r="H1959" s="10"/>
      <c r="I1959" s="17"/>
      <c r="J1959" s="82"/>
      <c r="K1959" s="340"/>
      <c r="L1959" s="344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>
      <c r="A1960" s="10"/>
      <c r="B1960" s="226"/>
      <c r="C1960" s="10"/>
      <c r="D1960" s="14"/>
      <c r="E1960" s="155"/>
      <c r="F1960" s="10"/>
      <c r="G1960" s="17"/>
      <c r="H1960" s="10"/>
      <c r="I1960" s="17"/>
      <c r="J1960" s="82"/>
      <c r="K1960" s="340"/>
      <c r="L1960" s="344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>
      <c r="A1961" s="10"/>
      <c r="B1961" s="226"/>
      <c r="C1961" s="10"/>
      <c r="D1961" s="14"/>
      <c r="E1961" s="155"/>
      <c r="F1961" s="10"/>
      <c r="G1961" s="17"/>
      <c r="H1961" s="10"/>
      <c r="I1961" s="17"/>
      <c r="J1961" s="82"/>
      <c r="K1961" s="340"/>
      <c r="L1961" s="344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>
      <c r="A1962" s="10"/>
      <c r="B1962" s="226"/>
      <c r="C1962" s="10"/>
      <c r="D1962" s="14"/>
      <c r="E1962" s="155"/>
      <c r="F1962" s="10"/>
      <c r="G1962" s="17"/>
      <c r="H1962" s="10"/>
      <c r="I1962" s="17"/>
      <c r="J1962" s="82"/>
      <c r="K1962" s="340"/>
      <c r="L1962" s="344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>
      <c r="A1963" s="10"/>
      <c r="B1963" s="226"/>
      <c r="C1963" s="10"/>
      <c r="D1963" s="14"/>
      <c r="E1963" s="155"/>
      <c r="F1963" s="10"/>
      <c r="G1963" s="17"/>
      <c r="H1963" s="10"/>
      <c r="I1963" s="17"/>
      <c r="J1963" s="82"/>
      <c r="K1963" s="340"/>
      <c r="L1963" s="344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>
      <c r="A1964" s="10"/>
      <c r="B1964" s="226"/>
      <c r="C1964" s="10"/>
      <c r="D1964" s="14"/>
      <c r="E1964" s="155"/>
      <c r="F1964" s="10"/>
      <c r="G1964" s="17"/>
      <c r="H1964" s="10"/>
      <c r="I1964" s="17"/>
      <c r="J1964" s="82"/>
      <c r="K1964" s="340"/>
      <c r="L1964" s="344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>
      <c r="A1965" s="10"/>
      <c r="B1965" s="226"/>
      <c r="C1965" s="10"/>
      <c r="D1965" s="14"/>
      <c r="E1965" s="155"/>
      <c r="F1965" s="10"/>
      <c r="G1965" s="17"/>
      <c r="H1965" s="10"/>
      <c r="I1965" s="17"/>
      <c r="J1965" s="82"/>
      <c r="K1965" s="340"/>
      <c r="L1965" s="344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>
      <c r="A1966" s="10"/>
      <c r="B1966" s="226"/>
      <c r="C1966" s="10"/>
      <c r="D1966" s="14"/>
      <c r="E1966" s="155"/>
      <c r="F1966" s="10"/>
      <c r="G1966" s="17"/>
      <c r="H1966" s="10"/>
      <c r="I1966" s="17"/>
      <c r="J1966" s="82"/>
      <c r="K1966" s="340"/>
      <c r="L1966" s="344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>
      <c r="A1967" s="10"/>
      <c r="B1967" s="226"/>
      <c r="C1967" s="10"/>
      <c r="D1967" s="14"/>
      <c r="E1967" s="155"/>
      <c r="F1967" s="10"/>
      <c r="G1967" s="17"/>
      <c r="H1967" s="10"/>
      <c r="I1967" s="17"/>
      <c r="J1967" s="82"/>
      <c r="K1967" s="340"/>
      <c r="L1967" s="344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>
      <c r="A1968" s="10"/>
      <c r="B1968" s="226"/>
      <c r="C1968" s="10"/>
      <c r="D1968" s="14"/>
      <c r="E1968" s="155"/>
      <c r="F1968" s="10"/>
      <c r="G1968" s="17"/>
      <c r="H1968" s="10"/>
      <c r="I1968" s="17"/>
      <c r="J1968" s="82"/>
      <c r="K1968" s="340"/>
      <c r="L1968" s="344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>
      <c r="A1969" s="10"/>
      <c r="B1969" s="226"/>
      <c r="C1969" s="10"/>
      <c r="D1969" s="14"/>
      <c r="E1969" s="155"/>
      <c r="F1969" s="10"/>
      <c r="G1969" s="17"/>
      <c r="H1969" s="10"/>
      <c r="I1969" s="17"/>
      <c r="J1969" s="82"/>
      <c r="K1969" s="340"/>
      <c r="L1969" s="344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>
      <c r="A1970" s="10"/>
      <c r="B1970" s="226"/>
      <c r="C1970" s="10"/>
      <c r="D1970" s="14"/>
      <c r="E1970" s="155"/>
      <c r="F1970" s="10"/>
      <c r="G1970" s="17"/>
      <c r="H1970" s="10"/>
      <c r="I1970" s="17"/>
      <c r="J1970" s="82"/>
      <c r="K1970" s="340"/>
      <c r="L1970" s="344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>
      <c r="A1971" s="10"/>
      <c r="B1971" s="226"/>
      <c r="C1971" s="10"/>
      <c r="D1971" s="14"/>
      <c r="E1971" s="155"/>
      <c r="F1971" s="10"/>
      <c r="G1971" s="17"/>
      <c r="H1971" s="10"/>
      <c r="I1971" s="17"/>
      <c r="J1971" s="82"/>
      <c r="K1971" s="340"/>
      <c r="L1971" s="344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>
      <c r="A1972" s="10"/>
      <c r="B1972" s="226"/>
      <c r="C1972" s="10"/>
      <c r="D1972" s="14"/>
      <c r="E1972" s="155"/>
      <c r="F1972" s="10"/>
      <c r="G1972" s="17"/>
      <c r="H1972" s="10"/>
      <c r="I1972" s="17"/>
      <c r="J1972" s="82"/>
      <c r="K1972" s="340"/>
      <c r="L1972" s="344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>
      <c r="A1973" s="10"/>
      <c r="B1973" s="226"/>
      <c r="C1973" s="10"/>
      <c r="D1973" s="14"/>
      <c r="E1973" s="155"/>
      <c r="F1973" s="10"/>
      <c r="G1973" s="17"/>
      <c r="H1973" s="10"/>
      <c r="I1973" s="17"/>
      <c r="J1973" s="82"/>
      <c r="K1973" s="340"/>
      <c r="L1973" s="344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>
      <c r="A1974" s="10"/>
      <c r="B1974" s="226"/>
      <c r="C1974" s="10"/>
      <c r="D1974" s="14"/>
      <c r="E1974" s="155"/>
      <c r="F1974" s="10"/>
      <c r="G1974" s="17"/>
      <c r="H1974" s="10"/>
      <c r="I1974" s="17"/>
      <c r="J1974" s="82"/>
      <c r="K1974" s="340"/>
      <c r="L1974" s="344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>
      <c r="A1975" s="10"/>
      <c r="B1975" s="226"/>
      <c r="C1975" s="10"/>
      <c r="D1975" s="14"/>
      <c r="E1975" s="155"/>
      <c r="F1975" s="10"/>
      <c r="G1975" s="17"/>
      <c r="H1975" s="10"/>
      <c r="I1975" s="17"/>
      <c r="J1975" s="82"/>
      <c r="K1975" s="340"/>
      <c r="L1975" s="344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>
      <c r="A1976" s="10"/>
      <c r="B1976" s="226"/>
      <c r="C1976" s="10"/>
      <c r="D1976" s="14"/>
      <c r="E1976" s="155"/>
      <c r="F1976" s="10"/>
      <c r="G1976" s="17"/>
      <c r="H1976" s="10"/>
      <c r="I1976" s="17"/>
      <c r="J1976" s="82"/>
      <c r="K1976" s="340"/>
      <c r="L1976" s="344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>
      <c r="A1977" s="10"/>
      <c r="B1977" s="226"/>
      <c r="C1977" s="10"/>
      <c r="D1977" s="14"/>
      <c r="E1977" s="155"/>
      <c r="F1977" s="10"/>
      <c r="G1977" s="17"/>
      <c r="H1977" s="10"/>
      <c r="I1977" s="17"/>
      <c r="J1977" s="82"/>
      <c r="K1977" s="340"/>
      <c r="L1977" s="344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>
      <c r="A1978" s="10"/>
      <c r="B1978" s="226"/>
      <c r="C1978" s="10"/>
      <c r="D1978" s="14"/>
      <c r="E1978" s="155"/>
      <c r="F1978" s="10"/>
      <c r="G1978" s="17"/>
      <c r="H1978" s="10"/>
      <c r="I1978" s="17"/>
      <c r="J1978" s="82"/>
      <c r="K1978" s="340"/>
      <c r="L1978" s="344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>
      <c r="A1979" s="10"/>
      <c r="B1979" s="226"/>
      <c r="C1979" s="10"/>
      <c r="D1979" s="14"/>
      <c r="E1979" s="155"/>
      <c r="F1979" s="10"/>
      <c r="G1979" s="17"/>
      <c r="H1979" s="10"/>
      <c r="I1979" s="17"/>
      <c r="J1979" s="82"/>
      <c r="K1979" s="340"/>
      <c r="L1979" s="344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>
      <c r="A1980" s="10"/>
      <c r="B1980" s="226"/>
      <c r="C1980" s="10"/>
      <c r="D1980" s="14"/>
      <c r="E1980" s="155"/>
      <c r="F1980" s="10"/>
      <c r="G1980" s="17"/>
      <c r="H1980" s="10"/>
      <c r="I1980" s="17"/>
      <c r="J1980" s="82"/>
      <c r="K1980" s="340"/>
      <c r="L1980" s="344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>
      <c r="A1981" s="10"/>
      <c r="B1981" s="226"/>
      <c r="C1981" s="10"/>
      <c r="D1981" s="14"/>
      <c r="E1981" s="155"/>
      <c r="F1981" s="10"/>
      <c r="G1981" s="17"/>
      <c r="H1981" s="10"/>
      <c r="I1981" s="17"/>
      <c r="J1981" s="82"/>
      <c r="K1981" s="340"/>
      <c r="L1981" s="344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>
      <c r="A1982" s="10"/>
      <c r="B1982" s="226"/>
      <c r="C1982" s="10"/>
      <c r="D1982" s="14"/>
      <c r="E1982" s="155"/>
      <c r="F1982" s="10"/>
      <c r="G1982" s="17"/>
      <c r="H1982" s="10"/>
      <c r="I1982" s="17"/>
      <c r="J1982" s="82"/>
      <c r="K1982" s="340"/>
      <c r="L1982" s="344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>
      <c r="A1983" s="10"/>
      <c r="B1983" s="226"/>
      <c r="C1983" s="10"/>
      <c r="D1983" s="14"/>
      <c r="E1983" s="155"/>
      <c r="F1983" s="10"/>
      <c r="G1983" s="17"/>
      <c r="H1983" s="10"/>
      <c r="I1983" s="17"/>
      <c r="J1983" s="82"/>
      <c r="K1983" s="340"/>
      <c r="L1983" s="344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>
      <c r="A1984" s="10"/>
      <c r="B1984" s="226"/>
      <c r="C1984" s="10"/>
      <c r="D1984" s="14"/>
      <c r="E1984" s="155"/>
      <c r="F1984" s="10"/>
      <c r="G1984" s="17"/>
      <c r="H1984" s="10"/>
      <c r="I1984" s="17"/>
      <c r="J1984" s="82"/>
      <c r="K1984" s="340"/>
      <c r="L1984" s="344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>
      <c r="A1985" s="10"/>
      <c r="B1985" s="226"/>
      <c r="C1985" s="10"/>
      <c r="D1985" s="14"/>
      <c r="E1985" s="155"/>
      <c r="F1985" s="10"/>
      <c r="G1985" s="17"/>
      <c r="H1985" s="10"/>
      <c r="I1985" s="17"/>
      <c r="J1985" s="82"/>
      <c r="K1985" s="340"/>
      <c r="L1985" s="344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>
      <c r="A1986" s="10"/>
      <c r="B1986" s="226"/>
      <c r="C1986" s="10"/>
      <c r="D1986" s="14"/>
      <c r="E1986" s="155"/>
      <c r="F1986" s="10"/>
      <c r="G1986" s="17"/>
      <c r="H1986" s="10"/>
      <c r="I1986" s="17"/>
      <c r="J1986" s="82"/>
      <c r="K1986" s="340"/>
      <c r="L1986" s="344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>
      <c r="A1987" s="10"/>
      <c r="B1987" s="226"/>
      <c r="C1987" s="10"/>
      <c r="D1987" s="14"/>
      <c r="E1987" s="155"/>
      <c r="F1987" s="10"/>
      <c r="G1987" s="17"/>
      <c r="H1987" s="10"/>
      <c r="I1987" s="17"/>
      <c r="J1987" s="82"/>
      <c r="K1987" s="340"/>
      <c r="L1987" s="344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>
      <c r="A1988" s="10"/>
      <c r="B1988" s="226"/>
      <c r="C1988" s="10"/>
      <c r="D1988" s="14"/>
      <c r="E1988" s="155"/>
      <c r="F1988" s="10"/>
      <c r="G1988" s="17"/>
      <c r="H1988" s="10"/>
      <c r="I1988" s="17"/>
      <c r="J1988" s="82"/>
      <c r="K1988" s="340"/>
      <c r="L1988" s="344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>
      <c r="A1989" s="10"/>
      <c r="B1989" s="226"/>
      <c r="C1989" s="10"/>
      <c r="D1989" s="14"/>
      <c r="E1989" s="155"/>
      <c r="F1989" s="10"/>
      <c r="G1989" s="17"/>
      <c r="H1989" s="10"/>
      <c r="I1989" s="17"/>
      <c r="J1989" s="82"/>
      <c r="K1989" s="340"/>
      <c r="L1989" s="344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>
      <c r="A1990" s="10"/>
      <c r="B1990" s="226"/>
      <c r="C1990" s="10"/>
      <c r="D1990" s="14"/>
      <c r="E1990" s="155"/>
      <c r="F1990" s="10"/>
      <c r="G1990" s="17"/>
      <c r="H1990" s="10"/>
      <c r="I1990" s="17"/>
      <c r="J1990" s="82"/>
      <c r="K1990" s="340"/>
      <c r="L1990" s="344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>
      <c r="A1991" s="10"/>
      <c r="B1991" s="226"/>
      <c r="C1991" s="10"/>
      <c r="D1991" s="14"/>
      <c r="E1991" s="155"/>
      <c r="F1991" s="10"/>
      <c r="G1991" s="17"/>
      <c r="H1991" s="10"/>
      <c r="I1991" s="17"/>
      <c r="J1991" s="82"/>
      <c r="K1991" s="340"/>
      <c r="L1991" s="344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>
      <c r="A1992" s="10"/>
      <c r="B1992" s="226"/>
      <c r="C1992" s="10"/>
      <c r="D1992" s="14"/>
      <c r="E1992" s="155"/>
      <c r="F1992" s="10"/>
      <c r="G1992" s="17"/>
      <c r="H1992" s="10"/>
      <c r="I1992" s="17"/>
      <c r="J1992" s="82"/>
      <c r="K1992" s="340"/>
      <c r="L1992" s="344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>
      <c r="A1993" s="10"/>
      <c r="B1993" s="226"/>
      <c r="C1993" s="10"/>
      <c r="D1993" s="14"/>
      <c r="E1993" s="155"/>
      <c r="F1993" s="10"/>
      <c r="G1993" s="17"/>
      <c r="H1993" s="10"/>
      <c r="I1993" s="17"/>
      <c r="J1993" s="82"/>
      <c r="K1993" s="340"/>
      <c r="L1993" s="344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>
      <c r="A1994" s="10"/>
      <c r="B1994" s="226"/>
      <c r="C1994" s="10"/>
      <c r="D1994" s="14"/>
      <c r="E1994" s="155"/>
      <c r="F1994" s="10"/>
      <c r="G1994" s="17"/>
      <c r="H1994" s="10"/>
      <c r="I1994" s="17"/>
      <c r="J1994" s="82"/>
      <c r="K1994" s="340"/>
      <c r="L1994" s="344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>
      <c r="A1995" s="10"/>
      <c r="B1995" s="226"/>
      <c r="C1995" s="10"/>
      <c r="D1995" s="14"/>
      <c r="E1995" s="155"/>
      <c r="F1995" s="10"/>
      <c r="G1995" s="17"/>
      <c r="H1995" s="10"/>
      <c r="I1995" s="17"/>
      <c r="J1995" s="82"/>
      <c r="K1995" s="340"/>
      <c r="L1995" s="344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>
      <c r="A1996" s="10"/>
      <c r="B1996" s="226"/>
      <c r="C1996" s="10"/>
      <c r="D1996" s="14"/>
      <c r="E1996" s="155"/>
      <c r="F1996" s="10"/>
      <c r="G1996" s="17"/>
      <c r="H1996" s="10"/>
      <c r="I1996" s="17"/>
      <c r="J1996" s="82"/>
      <c r="K1996" s="340"/>
      <c r="L1996" s="344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>
      <c r="A1997" s="10"/>
      <c r="B1997" s="226"/>
      <c r="C1997" s="10"/>
      <c r="D1997" s="14"/>
      <c r="E1997" s="155"/>
      <c r="F1997" s="10"/>
      <c r="G1997" s="17"/>
      <c r="H1997" s="10"/>
      <c r="I1997" s="17"/>
      <c r="J1997" s="82"/>
      <c r="K1997" s="340"/>
      <c r="L1997" s="344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>
      <c r="A1998" s="10"/>
      <c r="B1998" s="226"/>
      <c r="C1998" s="10"/>
      <c r="D1998" s="14"/>
      <c r="E1998" s="155"/>
      <c r="F1998" s="10"/>
      <c r="G1998" s="17"/>
      <c r="H1998" s="10"/>
      <c r="I1998" s="17"/>
      <c r="J1998" s="82"/>
      <c r="K1998" s="340"/>
      <c r="L1998" s="344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>
      <c r="A1999" s="10"/>
      <c r="B1999" s="226"/>
      <c r="C1999" s="10"/>
      <c r="D1999" s="14"/>
      <c r="E1999" s="155"/>
      <c r="F1999" s="10"/>
      <c r="G1999" s="17"/>
      <c r="H1999" s="10"/>
      <c r="I1999" s="17"/>
      <c r="J1999" s="82"/>
      <c r="K1999" s="340"/>
      <c r="L1999" s="344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>
      <c r="A2000" s="10"/>
      <c r="B2000" s="226"/>
      <c r="C2000" s="10"/>
      <c r="D2000" s="14"/>
      <c r="E2000" s="155"/>
      <c r="F2000" s="10"/>
      <c r="G2000" s="17"/>
      <c r="H2000" s="10"/>
      <c r="I2000" s="17"/>
      <c r="J2000" s="82"/>
      <c r="K2000" s="340"/>
      <c r="L2000" s="344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>
      <c r="A2001" s="10"/>
      <c r="B2001" s="226"/>
      <c r="C2001" s="10"/>
      <c r="D2001" s="14"/>
      <c r="E2001" s="155"/>
      <c r="F2001" s="10"/>
      <c r="G2001" s="17"/>
      <c r="H2001" s="10"/>
      <c r="I2001" s="17"/>
      <c r="J2001" s="82"/>
      <c r="K2001" s="340"/>
      <c r="L2001" s="344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>
      <c r="A2002" s="10"/>
      <c r="B2002" s="226"/>
      <c r="C2002" s="10"/>
      <c r="D2002" s="14"/>
      <c r="E2002" s="155"/>
      <c r="F2002" s="10"/>
      <c r="G2002" s="17"/>
      <c r="H2002" s="10"/>
      <c r="I2002" s="17"/>
      <c r="J2002" s="82"/>
      <c r="K2002" s="340"/>
      <c r="L2002" s="344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>
      <c r="A2003" s="10"/>
      <c r="B2003" s="226"/>
      <c r="C2003" s="10"/>
      <c r="D2003" s="14"/>
      <c r="E2003" s="155"/>
      <c r="F2003" s="10"/>
      <c r="G2003" s="17"/>
      <c r="H2003" s="10"/>
      <c r="I2003" s="17"/>
      <c r="J2003" s="82"/>
      <c r="K2003" s="340"/>
      <c r="L2003" s="344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>
      <c r="A2004" s="10"/>
      <c r="B2004" s="226"/>
      <c r="C2004" s="10"/>
      <c r="D2004" s="14"/>
      <c r="E2004" s="155"/>
      <c r="F2004" s="10"/>
      <c r="G2004" s="17"/>
      <c r="H2004" s="10"/>
      <c r="I2004" s="17"/>
      <c r="J2004" s="82"/>
      <c r="K2004" s="340"/>
      <c r="L2004" s="344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>
      <c r="A2005" s="10"/>
      <c r="B2005" s="226"/>
      <c r="C2005" s="10"/>
      <c r="D2005" s="14"/>
      <c r="E2005" s="155"/>
      <c r="F2005" s="10"/>
      <c r="G2005" s="17"/>
      <c r="H2005" s="10"/>
      <c r="I2005" s="17"/>
      <c r="J2005" s="82"/>
      <c r="K2005" s="340"/>
      <c r="L2005" s="344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>
      <c r="A2006" s="10"/>
      <c r="B2006" s="226"/>
      <c r="C2006" s="10"/>
      <c r="D2006" s="14"/>
      <c r="E2006" s="155"/>
      <c r="F2006" s="10"/>
      <c r="G2006" s="17"/>
      <c r="H2006" s="10"/>
      <c r="I2006" s="17"/>
      <c r="J2006" s="82"/>
      <c r="K2006" s="340"/>
      <c r="L2006" s="344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>
      <c r="A2007" s="10"/>
      <c r="B2007" s="226"/>
      <c r="C2007" s="10"/>
      <c r="D2007" s="14"/>
      <c r="E2007" s="155"/>
      <c r="F2007" s="10"/>
      <c r="G2007" s="17"/>
      <c r="H2007" s="10"/>
      <c r="I2007" s="17"/>
      <c r="J2007" s="82"/>
      <c r="K2007" s="340"/>
      <c r="L2007" s="344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>
      <c r="A2008" s="10"/>
      <c r="B2008" s="226"/>
      <c r="C2008" s="10"/>
      <c r="D2008" s="14"/>
      <c r="E2008" s="155"/>
      <c r="F2008" s="10"/>
      <c r="G2008" s="17"/>
      <c r="H2008" s="10"/>
      <c r="I2008" s="17"/>
      <c r="J2008" s="82"/>
      <c r="K2008" s="340"/>
      <c r="L2008" s="344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>
      <c r="A2009" s="10"/>
      <c r="B2009" s="226"/>
      <c r="C2009" s="10"/>
      <c r="D2009" s="14"/>
      <c r="E2009" s="155"/>
      <c r="F2009" s="10"/>
      <c r="G2009" s="17"/>
      <c r="H2009" s="10"/>
      <c r="I2009" s="17"/>
      <c r="J2009" s="82"/>
      <c r="K2009" s="340"/>
      <c r="L2009" s="344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>
      <c r="A2010" s="10"/>
      <c r="B2010" s="226"/>
      <c r="C2010" s="10"/>
      <c r="D2010" s="14"/>
      <c r="E2010" s="155"/>
      <c r="F2010" s="10"/>
      <c r="G2010" s="17"/>
      <c r="H2010" s="10"/>
      <c r="I2010" s="17"/>
      <c r="J2010" s="82"/>
      <c r="K2010" s="340"/>
      <c r="L2010" s="344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>
      <c r="A2011" s="10"/>
      <c r="B2011" s="226"/>
      <c r="C2011" s="10"/>
      <c r="D2011" s="14"/>
      <c r="E2011" s="155"/>
      <c r="F2011" s="10"/>
      <c r="G2011" s="17"/>
      <c r="H2011" s="10"/>
      <c r="I2011" s="17"/>
      <c r="J2011" s="82"/>
      <c r="K2011" s="340"/>
      <c r="L2011" s="344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>
      <c r="A2012" s="10"/>
      <c r="B2012" s="226"/>
      <c r="C2012" s="10"/>
      <c r="D2012" s="14"/>
      <c r="E2012" s="155"/>
      <c r="F2012" s="10"/>
      <c r="G2012" s="17"/>
      <c r="H2012" s="10"/>
      <c r="I2012" s="17"/>
      <c r="J2012" s="82"/>
      <c r="K2012" s="340"/>
      <c r="L2012" s="344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>
      <c r="A2013" s="10"/>
      <c r="B2013" s="226"/>
      <c r="C2013" s="10"/>
      <c r="D2013" s="14"/>
      <c r="E2013" s="155"/>
      <c r="F2013" s="10"/>
      <c r="G2013" s="17"/>
      <c r="H2013" s="10"/>
      <c r="I2013" s="17"/>
      <c r="J2013" s="82"/>
      <c r="K2013" s="340"/>
      <c r="L2013" s="344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>
      <c r="A2014" s="10"/>
      <c r="B2014" s="226"/>
      <c r="C2014" s="10"/>
      <c r="D2014" s="14"/>
      <c r="E2014" s="155"/>
      <c r="F2014" s="10"/>
      <c r="G2014" s="17"/>
      <c r="H2014" s="10"/>
      <c r="I2014" s="17"/>
      <c r="J2014" s="82"/>
      <c r="K2014" s="340"/>
      <c r="L2014" s="344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>
      <c r="A2015" s="10"/>
      <c r="B2015" s="226"/>
      <c r="C2015" s="10"/>
      <c r="D2015" s="14"/>
      <c r="E2015" s="155"/>
      <c r="F2015" s="10"/>
      <c r="G2015" s="17"/>
      <c r="H2015" s="10"/>
      <c r="I2015" s="17"/>
      <c r="J2015" s="82"/>
      <c r="K2015" s="340"/>
      <c r="L2015" s="344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>
      <c r="A2016" s="10"/>
      <c r="B2016" s="226"/>
      <c r="C2016" s="10"/>
      <c r="D2016" s="14"/>
      <c r="E2016" s="155"/>
      <c r="F2016" s="10"/>
      <c r="G2016" s="17"/>
      <c r="H2016" s="10"/>
      <c r="I2016" s="17"/>
      <c r="J2016" s="82"/>
      <c r="K2016" s="340"/>
      <c r="L2016" s="344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>
      <c r="A2017" s="10"/>
      <c r="B2017" s="226"/>
      <c r="C2017" s="10"/>
      <c r="D2017" s="14"/>
      <c r="E2017" s="155"/>
      <c r="F2017" s="10"/>
      <c r="G2017" s="17"/>
      <c r="H2017" s="10"/>
      <c r="I2017" s="17"/>
      <c r="J2017" s="82"/>
      <c r="K2017" s="340"/>
      <c r="L2017" s="344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>
      <c r="A2018" s="10"/>
      <c r="B2018" s="226"/>
      <c r="C2018" s="10"/>
      <c r="D2018" s="14"/>
      <c r="E2018" s="155"/>
      <c r="F2018" s="10"/>
      <c r="G2018" s="17"/>
      <c r="H2018" s="10"/>
      <c r="I2018" s="17"/>
      <c r="J2018" s="82"/>
      <c r="K2018" s="340"/>
      <c r="L2018" s="344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>
      <c r="A2019" s="10"/>
      <c r="B2019" s="226"/>
      <c r="C2019" s="10"/>
      <c r="D2019" s="14"/>
      <c r="E2019" s="155"/>
      <c r="F2019" s="10"/>
      <c r="G2019" s="17"/>
      <c r="H2019" s="10"/>
      <c r="I2019" s="17"/>
      <c r="J2019" s="82"/>
      <c r="K2019" s="340"/>
      <c r="L2019" s="344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>
      <c r="A2020" s="10"/>
      <c r="B2020" s="226"/>
      <c r="C2020" s="10"/>
      <c r="D2020" s="14"/>
      <c r="E2020" s="155"/>
      <c r="F2020" s="10"/>
      <c r="G2020" s="17"/>
      <c r="H2020" s="10"/>
      <c r="I2020" s="17"/>
      <c r="J2020" s="82"/>
      <c r="K2020" s="340"/>
      <c r="L2020" s="344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>
      <c r="A2021" s="10"/>
      <c r="B2021" s="226"/>
      <c r="C2021" s="10"/>
      <c r="D2021" s="14"/>
      <c r="E2021" s="155"/>
      <c r="F2021" s="10"/>
      <c r="G2021" s="17"/>
      <c r="H2021" s="10"/>
      <c r="I2021" s="17"/>
      <c r="J2021" s="82"/>
      <c r="K2021" s="340"/>
      <c r="L2021" s="344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>
      <c r="A2022" s="10"/>
      <c r="B2022" s="226"/>
      <c r="C2022" s="10"/>
      <c r="D2022" s="14"/>
      <c r="E2022" s="155"/>
      <c r="F2022" s="10"/>
      <c r="G2022" s="17"/>
      <c r="H2022" s="10"/>
      <c r="I2022" s="17"/>
      <c r="J2022" s="82"/>
      <c r="K2022" s="340"/>
      <c r="L2022" s="344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>
      <c r="A2023" s="10"/>
      <c r="B2023" s="226"/>
      <c r="C2023" s="10"/>
      <c r="D2023" s="14"/>
      <c r="E2023" s="155"/>
      <c r="F2023" s="10"/>
      <c r="G2023" s="17"/>
      <c r="H2023" s="10"/>
      <c r="I2023" s="17"/>
      <c r="J2023" s="82"/>
      <c r="K2023" s="340"/>
      <c r="L2023" s="344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>
      <c r="A2024" s="10"/>
      <c r="B2024" s="226"/>
      <c r="C2024" s="10"/>
      <c r="D2024" s="14"/>
      <c r="E2024" s="155"/>
      <c r="F2024" s="10"/>
      <c r="G2024" s="17"/>
      <c r="H2024" s="10"/>
      <c r="I2024" s="17"/>
      <c r="J2024" s="82"/>
      <c r="K2024" s="340"/>
      <c r="L2024" s="344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>
      <c r="A2025" s="10"/>
      <c r="B2025" s="226"/>
      <c r="C2025" s="10"/>
      <c r="D2025" s="14"/>
      <c r="E2025" s="155"/>
      <c r="F2025" s="10"/>
      <c r="G2025" s="17"/>
      <c r="H2025" s="10"/>
      <c r="I2025" s="17"/>
      <c r="J2025" s="82"/>
      <c r="K2025" s="340"/>
      <c r="L2025" s="344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>
      <c r="A2026" s="10"/>
      <c r="B2026" s="226"/>
      <c r="C2026" s="10"/>
      <c r="D2026" s="14"/>
      <c r="E2026" s="155"/>
      <c r="F2026" s="10"/>
      <c r="G2026" s="17"/>
      <c r="H2026" s="10"/>
      <c r="I2026" s="17"/>
      <c r="J2026" s="82"/>
      <c r="K2026" s="340"/>
      <c r="L2026" s="344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>
      <c r="A2027" s="10"/>
      <c r="B2027" s="226"/>
      <c r="C2027" s="10"/>
      <c r="D2027" s="14"/>
      <c r="E2027" s="155"/>
      <c r="F2027" s="10"/>
      <c r="G2027" s="17"/>
      <c r="H2027" s="10"/>
      <c r="I2027" s="17"/>
      <c r="J2027" s="82"/>
      <c r="K2027" s="340"/>
      <c r="L2027" s="344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>
      <c r="A2028" s="10"/>
      <c r="B2028" s="226"/>
      <c r="C2028" s="10"/>
      <c r="D2028" s="14"/>
      <c r="E2028" s="155"/>
      <c r="F2028" s="10"/>
      <c r="G2028" s="17"/>
      <c r="H2028" s="10"/>
      <c r="I2028" s="17"/>
      <c r="J2028" s="82"/>
      <c r="K2028" s="340"/>
      <c r="L2028" s="344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>
      <c r="A2029" s="10"/>
      <c r="B2029" s="226"/>
      <c r="C2029" s="10"/>
      <c r="D2029" s="14"/>
      <c r="E2029" s="155"/>
      <c r="F2029" s="10"/>
      <c r="G2029" s="17"/>
      <c r="H2029" s="10"/>
      <c r="I2029" s="17"/>
      <c r="J2029" s="82"/>
      <c r="K2029" s="340"/>
      <c r="L2029" s="344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>
      <c r="A2030" s="10"/>
      <c r="B2030" s="226"/>
      <c r="C2030" s="10"/>
      <c r="D2030" s="14"/>
      <c r="E2030" s="155"/>
      <c r="F2030" s="10"/>
      <c r="G2030" s="17"/>
      <c r="H2030" s="10"/>
      <c r="I2030" s="17"/>
      <c r="J2030" s="82"/>
      <c r="K2030" s="340"/>
      <c r="L2030" s="344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>
      <c r="A2031" s="10"/>
      <c r="B2031" s="226"/>
      <c r="C2031" s="10"/>
      <c r="D2031" s="14"/>
      <c r="E2031" s="155"/>
      <c r="F2031" s="10"/>
      <c r="G2031" s="17"/>
      <c r="H2031" s="10"/>
      <c r="I2031" s="17"/>
      <c r="J2031" s="82"/>
      <c r="K2031" s="340"/>
      <c r="L2031" s="344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>
      <c r="A2032" s="10"/>
      <c r="B2032" s="226"/>
      <c r="C2032" s="10"/>
      <c r="D2032" s="14"/>
      <c r="E2032" s="155"/>
      <c r="F2032" s="10"/>
      <c r="G2032" s="17"/>
      <c r="H2032" s="10"/>
      <c r="I2032" s="17"/>
      <c r="J2032" s="82"/>
      <c r="K2032" s="340"/>
      <c r="L2032" s="344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>
      <c r="A2033" s="10"/>
      <c r="B2033" s="226"/>
      <c r="C2033" s="10"/>
      <c r="D2033" s="14"/>
      <c r="E2033" s="155"/>
      <c r="F2033" s="10"/>
      <c r="G2033" s="17"/>
      <c r="H2033" s="10"/>
      <c r="I2033" s="17"/>
      <c r="J2033" s="82"/>
      <c r="K2033" s="340"/>
      <c r="L2033" s="344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>
      <c r="A2034" s="10"/>
      <c r="B2034" s="226"/>
      <c r="C2034" s="10"/>
      <c r="D2034" s="14"/>
      <c r="E2034" s="155"/>
      <c r="F2034" s="10"/>
      <c r="G2034" s="17"/>
      <c r="H2034" s="10"/>
      <c r="I2034" s="17"/>
      <c r="J2034" s="82"/>
      <c r="K2034" s="340"/>
      <c r="L2034" s="344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>
      <c r="A2035" s="10"/>
      <c r="B2035" s="226"/>
      <c r="C2035" s="10"/>
      <c r="D2035" s="14"/>
      <c r="E2035" s="155"/>
      <c r="F2035" s="10"/>
      <c r="G2035" s="17"/>
      <c r="H2035" s="10"/>
      <c r="I2035" s="17"/>
      <c r="J2035" s="82"/>
      <c r="K2035" s="340"/>
      <c r="L2035" s="344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>
      <c r="A2036" s="17"/>
      <c r="B2036" s="227"/>
      <c r="C2036" s="17"/>
      <c r="D2036" s="18"/>
      <c r="E2036" s="235"/>
      <c r="F2036" s="17"/>
      <c r="G2036" s="17"/>
      <c r="H2036" s="17"/>
      <c r="I2036" s="17"/>
      <c r="J2036" s="83"/>
      <c r="K2036" s="340"/>
      <c r="L2036" s="344"/>
      <c r="M2036" s="89"/>
      <c r="N2036" s="17"/>
      <c r="O2036" s="25"/>
      <c r="P2036" s="91"/>
      <c r="Q2036" s="177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>
      <c r="A2037" s="10" t="s">
        <v>256</v>
      </c>
      <c r="B2037" s="226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5" t="s">
        <v>1459</v>
      </c>
      <c r="F2037" s="11"/>
      <c r="G2037" s="17"/>
      <c r="H2037" s="10"/>
      <c r="I2037" s="17"/>
      <c r="J2037" s="82"/>
      <c r="K2037" s="341">
        <v>0.53859800000000002</v>
      </c>
      <c r="L2037" s="344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>
      <c r="A2038" s="10" t="s">
        <v>256</v>
      </c>
      <c r="B2038" s="226" t="s">
        <v>321</v>
      </c>
      <c r="C2038" s="10" t="s">
        <v>320</v>
      </c>
      <c r="D2038" s="14" t="str">
        <v>Black Aluminium Mesh 1.6mm</v>
      </c>
      <c r="E2038" s="155"/>
      <c r="F2038" s="11"/>
      <c r="G2038" s="17"/>
      <c r="H2038" s="10"/>
      <c r="I2038" s="17"/>
      <c r="J2038" s="82"/>
      <c r="K2038" s="341"/>
      <c r="L2038" s="344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20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>
      <c r="A2039" s="10" t="s">
        <v>256</v>
      </c>
      <c r="B2039" s="226" t="s">
        <v>321</v>
      </c>
      <c r="C2039" s="10" t="s">
        <v>320</v>
      </c>
      <c r="D2039" s="14" t="str">
        <v>Black Aluminium Mesh 1.8mm</v>
      </c>
      <c r="E2039" s="155"/>
      <c r="F2039" s="11"/>
      <c r="G2039" s="17"/>
      <c r="H2039" s="10"/>
      <c r="I2039" s="17"/>
      <c r="J2039" s="82"/>
      <c r="K2039" s="341"/>
      <c r="L2039" s="344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6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>
      <c r="A2040" s="10" t="s">
        <v>256</v>
      </c>
      <c r="B2040" s="226" t="s">
        <v>321</v>
      </c>
      <c r="C2040" s="10" t="s">
        <v>320</v>
      </c>
      <c r="D2040" s="14" t="str">
        <v>Black Stainless Steel Mesh 1.0mm</v>
      </c>
      <c r="E2040" s="155"/>
      <c r="F2040" s="10"/>
      <c r="G2040" s="17"/>
      <c r="H2040" s="10"/>
      <c r="I2040" s="17"/>
      <c r="J2040" s="82"/>
      <c r="K2040" s="341"/>
      <c r="L2040" s="344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P/C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>
      <c r="A2041" s="10" t="s">
        <v>256</v>
      </c>
      <c r="B2041" s="226" t="s">
        <v>321</v>
      </c>
      <c r="C2041" s="10" t="s">
        <v>320</v>
      </c>
      <c r="D2041" s="14" t="str">
        <v/>
      </c>
      <c r="E2041" s="155"/>
      <c r="F2041" s="10"/>
      <c r="G2041" s="17"/>
      <c r="H2041" s="10"/>
      <c r="I2041" s="17"/>
      <c r="J2041" s="82"/>
      <c r="K2041" s="341"/>
      <c r="L2041" s="344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>
      <c r="A2042" s="10" t="s">
        <v>256</v>
      </c>
      <c r="B2042" s="226" t="s">
        <v>321</v>
      </c>
      <c r="C2042" s="10" t="s">
        <v>320</v>
      </c>
      <c r="D2042" s="14" t="str">
        <v/>
      </c>
      <c r="E2042" s="155"/>
      <c r="F2042" s="10"/>
      <c r="G2042" s="17"/>
      <c r="H2042" s="10"/>
      <c r="I2042" s="17"/>
      <c r="J2042" s="82"/>
      <c r="K2042" s="341"/>
      <c r="L2042" s="344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>
      <c r="A2043" s="10" t="s">
        <v>256</v>
      </c>
      <c r="B2043" s="226" t="s">
        <v>321</v>
      </c>
      <c r="C2043" s="10" t="s">
        <v>320</v>
      </c>
      <c r="D2043" s="14" t="str">
        <v/>
      </c>
      <c r="E2043" s="155"/>
      <c r="F2043" s="10"/>
      <c r="G2043" s="17"/>
      <c r="H2043" s="10"/>
      <c r="I2043" s="17"/>
      <c r="J2043" s="82"/>
      <c r="K2043" s="341"/>
      <c r="L2043" s="344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>
      <c r="A2044" s="10"/>
      <c r="B2044" s="226"/>
      <c r="C2044" s="10"/>
      <c r="D2044" s="14"/>
      <c r="E2044" s="155"/>
      <c r="F2044" s="10"/>
      <c r="G2044" s="17"/>
      <c r="H2044" s="10"/>
      <c r="I2044" s="17"/>
      <c r="J2044" s="82"/>
      <c r="K2044" s="340"/>
      <c r="L2044" s="344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>
      <c r="A2045" s="10"/>
      <c r="B2045" s="226"/>
      <c r="C2045" s="10"/>
      <c r="D2045" s="14"/>
      <c r="E2045" s="155"/>
      <c r="F2045" s="10"/>
      <c r="G2045" s="17"/>
      <c r="H2045" s="10"/>
      <c r="I2045" s="17"/>
      <c r="J2045" s="82"/>
      <c r="K2045" s="340"/>
      <c r="L2045" s="344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>
      <c r="A2046" s="10"/>
      <c r="B2046" s="226"/>
      <c r="C2046" s="10"/>
      <c r="D2046" s="14"/>
      <c r="E2046" s="155"/>
      <c r="F2046" s="10"/>
      <c r="G2046" s="17"/>
      <c r="H2046" s="10"/>
      <c r="I2046" s="17"/>
      <c r="J2046" s="82"/>
      <c r="K2046" s="340"/>
      <c r="L2046" s="344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>
      <c r="A2047" s="10"/>
      <c r="B2047" s="226"/>
      <c r="C2047" s="10"/>
      <c r="D2047" s="14"/>
      <c r="E2047" s="155"/>
      <c r="F2047" s="10"/>
      <c r="G2047" s="17"/>
      <c r="H2047" s="10"/>
      <c r="I2047" s="17"/>
      <c r="J2047" s="82"/>
      <c r="K2047" s="340"/>
      <c r="L2047" s="344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1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>
      <c r="A2048" s="10"/>
      <c r="B2048" s="226"/>
      <c r="C2048" s="10"/>
      <c r="D2048" s="14"/>
      <c r="E2048" s="155"/>
      <c r="F2048" s="11"/>
      <c r="G2048" s="17"/>
      <c r="H2048" s="10"/>
      <c r="I2048" s="17"/>
      <c r="J2048" s="82"/>
      <c r="K2048" s="341"/>
      <c r="L2048" s="344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2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>
      <c r="A2049" s="10"/>
      <c r="B2049" s="226"/>
      <c r="C2049" s="10"/>
      <c r="D2049" s="14"/>
      <c r="E2049" s="155"/>
      <c r="F2049" s="11"/>
      <c r="G2049" s="17"/>
      <c r="H2049" s="10"/>
      <c r="I2049" s="17"/>
      <c r="J2049" s="82"/>
      <c r="K2049" s="340"/>
      <c r="L2049" s="344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>
      <c r="A2050" s="10"/>
      <c r="B2050" s="226"/>
      <c r="C2050" s="10"/>
      <c r="D2050" s="14"/>
      <c r="E2050" s="155"/>
      <c r="F2050" s="11"/>
      <c r="G2050" s="17"/>
      <c r="H2050" s="10"/>
      <c r="I2050" s="17"/>
      <c r="J2050" s="82"/>
      <c r="K2050" s="340"/>
      <c r="L2050" s="344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2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>
      <c r="A2051" s="10"/>
      <c r="B2051" s="226"/>
      <c r="C2051" s="10"/>
      <c r="D2051" s="14"/>
      <c r="E2051" s="155"/>
      <c r="F2051" s="10"/>
      <c r="G2051" s="17"/>
      <c r="H2051" s="10"/>
      <c r="I2051" s="17"/>
      <c r="J2051" s="82"/>
      <c r="K2051" s="340"/>
      <c r="L2051" s="344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>
      <c r="A2052" s="10"/>
      <c r="B2052" s="226"/>
      <c r="C2052" s="10"/>
      <c r="D2052" s="14"/>
      <c r="E2052" s="155"/>
      <c r="F2052" s="10"/>
      <c r="G2052" s="17"/>
      <c r="H2052" s="10"/>
      <c r="I2052" s="17"/>
      <c r="J2052" s="82"/>
      <c r="K2052" s="340"/>
      <c r="L2052" s="344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>
      <c r="A2053" s="10"/>
      <c r="B2053" s="226"/>
      <c r="C2053" s="10"/>
      <c r="D2053" s="14"/>
      <c r="E2053" s="155"/>
      <c r="F2053" s="10"/>
      <c r="G2053" s="17"/>
      <c r="H2053" s="10"/>
      <c r="I2053" s="17"/>
      <c r="J2053" s="82"/>
      <c r="K2053" s="340"/>
      <c r="L2053" s="344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>
      <c r="A2054" s="10"/>
      <c r="B2054" s="226"/>
      <c r="C2054" s="10"/>
      <c r="D2054" s="14"/>
      <c r="E2054" s="155"/>
      <c r="F2054" s="10"/>
      <c r="G2054" s="17"/>
      <c r="H2054" s="10"/>
      <c r="I2054" s="17"/>
      <c r="J2054" s="82"/>
      <c r="K2054" s="340"/>
      <c r="L2054" s="344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>
      <c r="A2055" s="10"/>
      <c r="B2055" s="226"/>
      <c r="C2055" s="10"/>
      <c r="D2055" s="14"/>
      <c r="E2055" s="155"/>
      <c r="F2055" s="10"/>
      <c r="G2055" s="17"/>
      <c r="H2055" s="10"/>
      <c r="I2055" s="17"/>
      <c r="J2055" s="82"/>
      <c r="K2055" s="340"/>
      <c r="L2055" s="344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>
      <c r="A2056" s="10"/>
      <c r="B2056" s="226"/>
      <c r="C2056" s="10"/>
      <c r="D2056" s="14"/>
      <c r="E2056" s="155"/>
      <c r="F2056" s="10"/>
      <c r="G2056" s="17"/>
      <c r="H2056" s="10"/>
      <c r="I2056" s="17"/>
      <c r="J2056" s="82"/>
      <c r="K2056" s="340"/>
      <c r="L2056" s="344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>
      <c r="A2057" s="10"/>
      <c r="B2057" s="226"/>
      <c r="C2057" s="10"/>
      <c r="D2057" s="14"/>
      <c r="E2057" s="155"/>
      <c r="F2057" s="10"/>
      <c r="G2057" s="17"/>
      <c r="H2057" s="10"/>
      <c r="I2057" s="17"/>
      <c r="J2057" s="82"/>
      <c r="K2057" s="340"/>
      <c r="L2057" s="344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>
      <c r="A2058" s="10"/>
      <c r="B2058" s="226"/>
      <c r="C2058" s="10"/>
      <c r="D2058" s="14"/>
      <c r="E2058" s="155"/>
      <c r="F2058" s="10"/>
      <c r="G2058" s="17"/>
      <c r="H2058" s="10"/>
      <c r="I2058" s="17"/>
      <c r="J2058" s="82"/>
      <c r="K2058" s="340"/>
      <c r="L2058" s="344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>
      <c r="A2059" s="10"/>
      <c r="B2059" s="226"/>
      <c r="C2059" s="10"/>
      <c r="D2059" s="36"/>
      <c r="E2059" s="155"/>
      <c r="F2059" s="10"/>
      <c r="G2059" s="17"/>
      <c r="H2059" s="10"/>
      <c r="I2059" s="17"/>
      <c r="J2059" s="82"/>
      <c r="K2059" s="340"/>
      <c r="L2059" s="344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>
      <c r="A2060" s="10"/>
      <c r="B2060" s="226"/>
      <c r="C2060" s="10"/>
      <c r="D2060" s="36"/>
      <c r="E2060" s="155"/>
      <c r="F2060" s="10"/>
      <c r="G2060" s="17"/>
      <c r="H2060" s="10"/>
      <c r="I2060" s="17"/>
      <c r="J2060" s="82"/>
      <c r="K2060" s="340"/>
      <c r="L2060" s="344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>
      <c r="A2061" s="10"/>
      <c r="B2061" s="226"/>
      <c r="C2061" s="10"/>
      <c r="D2061" s="36"/>
      <c r="E2061" s="155"/>
      <c r="F2061" s="10"/>
      <c r="G2061" s="17"/>
      <c r="H2061" s="10"/>
      <c r="I2061" s="17"/>
      <c r="J2061" s="82"/>
      <c r="K2061" s="340"/>
      <c r="L2061" s="344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>
      <c r="A2062" s="10"/>
      <c r="B2062" s="226"/>
      <c r="C2062" s="10"/>
      <c r="D2062" s="36"/>
      <c r="E2062" s="155"/>
      <c r="F2062" s="10"/>
      <c r="G2062" s="17"/>
      <c r="H2062" s="10"/>
      <c r="I2062" s="17"/>
      <c r="J2062" s="82"/>
      <c r="K2062" s="340"/>
      <c r="L2062" s="344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>
      <c r="A2063" s="10"/>
      <c r="B2063" s="226"/>
      <c r="C2063" s="10"/>
      <c r="D2063" s="36"/>
      <c r="E2063" s="155"/>
      <c r="F2063" s="10"/>
      <c r="G2063" s="17"/>
      <c r="H2063" s="10"/>
      <c r="I2063" s="17"/>
      <c r="J2063" s="82"/>
      <c r="K2063" s="340"/>
      <c r="L2063" s="344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>
      <c r="A2064" s="10"/>
      <c r="B2064" s="226"/>
      <c r="C2064" s="10"/>
      <c r="D2064" s="36"/>
      <c r="E2064" s="155"/>
      <c r="F2064" s="10"/>
      <c r="G2064" s="17"/>
      <c r="H2064" s="10"/>
      <c r="I2064" s="17"/>
      <c r="J2064" s="82"/>
      <c r="K2064" s="340"/>
      <c r="L2064" s="344"/>
      <c r="M2064" s="88">
        <f t="shared" si="37"/>
        <v>28</v>
      </c>
      <c r="N2064" s="14"/>
      <c r="O2064" s="193">
        <f>IF(Enginuity!$B$6="","",
   SUMPRODUCT($Q$2045:$Q$2062,$O$2045:$O$2062)
   + MAX(800,$Q$2063*$O$2063)
)</f>
        <v>1386.9</v>
      </c>
      <c r="P2064" s="254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>
      <c r="A2065" s="10"/>
      <c r="B2065" s="226"/>
      <c r="C2065" s="10"/>
      <c r="D2065" s="36"/>
      <c r="E2065" s="155"/>
      <c r="F2065" s="10"/>
      <c r="G2065" s="17"/>
      <c r="H2065" s="10"/>
      <c r="I2065" s="17"/>
      <c r="J2065" s="82"/>
      <c r="K2065" s="340"/>
      <c r="L2065" s="344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>
      <c r="A2066" s="10"/>
      <c r="B2066" s="226"/>
      <c r="C2066" s="10"/>
      <c r="D2066" s="36"/>
      <c r="E2066" s="155"/>
      <c r="F2066" s="10"/>
      <c r="G2066" s="17"/>
      <c r="H2066" s="10"/>
      <c r="I2066" s="17"/>
      <c r="J2066" s="82"/>
      <c r="K2066" s="340"/>
      <c r="L2066" s="344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>
      <c r="A2067" s="10"/>
      <c r="B2067" s="226"/>
      <c r="C2067" s="10"/>
      <c r="D2067" s="36"/>
      <c r="E2067" s="155"/>
      <c r="F2067" s="10"/>
      <c r="G2067" s="17"/>
      <c r="H2067" s="10"/>
      <c r="I2067" s="17"/>
      <c r="J2067" s="82"/>
      <c r="K2067" s="340"/>
      <c r="L2067" s="344"/>
      <c r="M2067" s="88">
        <f t="shared" si="37"/>
        <v>31</v>
      </c>
      <c r="N2067" s="14"/>
      <c r="O2067" s="193"/>
      <c r="P2067" s="254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>
      <c r="A2068" s="10"/>
      <c r="B2068" s="226"/>
      <c r="C2068" s="10"/>
      <c r="D2068" s="14"/>
      <c r="E2068" s="155"/>
      <c r="F2068" s="10"/>
      <c r="G2068" s="17"/>
      <c r="H2068" s="10"/>
      <c r="I2068" s="17"/>
      <c r="J2068" s="82"/>
      <c r="K2068" s="340"/>
      <c r="L2068" s="344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>
      <c r="A2069" s="10"/>
      <c r="B2069" s="226"/>
      <c r="C2069" s="10"/>
      <c r="D2069" s="14"/>
      <c r="E2069" s="155"/>
      <c r="F2069" s="10"/>
      <c r="G2069" s="17"/>
      <c r="H2069" s="10"/>
      <c r="I2069" s="17"/>
      <c r="J2069" s="82"/>
      <c r="K2069" s="340"/>
      <c r="L2069" s="344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>
      <c r="A2070" s="10"/>
      <c r="B2070" s="226"/>
      <c r="C2070" s="10"/>
      <c r="D2070" s="14"/>
      <c r="E2070" s="155"/>
      <c r="F2070" s="10"/>
      <c r="G2070" s="17"/>
      <c r="H2070" s="10"/>
      <c r="I2070" s="17"/>
      <c r="J2070" s="82"/>
      <c r="K2070" s="340"/>
      <c r="L2070" s="344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>
      <c r="A2071" s="10"/>
      <c r="B2071" s="226"/>
      <c r="C2071" s="10"/>
      <c r="D2071" s="14"/>
      <c r="E2071" s="155"/>
      <c r="F2071" s="10"/>
      <c r="G2071" s="17"/>
      <c r="H2071" s="10"/>
      <c r="I2071" s="17"/>
      <c r="J2071" s="82"/>
      <c r="K2071" s="340"/>
      <c r="L2071" s="344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>
      <c r="A2072" s="10"/>
      <c r="B2072" s="226"/>
      <c r="C2072" s="10"/>
      <c r="D2072" s="14"/>
      <c r="E2072" s="155"/>
      <c r="F2072" s="10"/>
      <c r="G2072" s="17"/>
      <c r="H2072" s="10"/>
      <c r="I2072" s="17"/>
      <c r="J2072" s="82"/>
      <c r="K2072" s="340"/>
      <c r="L2072" s="344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>
      <c r="A2073" s="10"/>
      <c r="B2073" s="226"/>
      <c r="C2073" s="10"/>
      <c r="D2073" s="14"/>
      <c r="E2073" s="155"/>
      <c r="F2073" s="10"/>
      <c r="G2073" s="17"/>
      <c r="H2073" s="10"/>
      <c r="I2073" s="17"/>
      <c r="J2073" s="82"/>
      <c r="K2073" s="340"/>
      <c r="L2073" s="344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>
      <c r="A2074" s="10"/>
      <c r="B2074" s="226"/>
      <c r="C2074" s="10"/>
      <c r="D2074" s="14"/>
      <c r="E2074" s="155"/>
      <c r="F2074" s="10"/>
      <c r="G2074" s="17"/>
      <c r="H2074" s="10"/>
      <c r="I2074" s="17"/>
      <c r="J2074" s="82"/>
      <c r="K2074" s="340"/>
      <c r="L2074" s="344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>
      <c r="A2075" s="10"/>
      <c r="B2075" s="226"/>
      <c r="C2075" s="10"/>
      <c r="D2075" s="14"/>
      <c r="E2075" s="155"/>
      <c r="F2075" s="10"/>
      <c r="G2075" s="17"/>
      <c r="H2075" s="10"/>
      <c r="I2075" s="17"/>
      <c r="J2075" s="82"/>
      <c r="K2075" s="340"/>
      <c r="L2075" s="344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>
      <c r="A2076" s="10"/>
      <c r="B2076" s="226"/>
      <c r="C2076" s="10"/>
      <c r="D2076" s="14"/>
      <c r="E2076" s="155"/>
      <c r="F2076" s="10"/>
      <c r="G2076" s="17"/>
      <c r="H2076" s="10"/>
      <c r="I2076" s="17"/>
      <c r="J2076" s="82"/>
      <c r="K2076" s="340"/>
      <c r="L2076" s="344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>
      <c r="A2077" s="10"/>
      <c r="B2077" s="226"/>
      <c r="C2077" s="10"/>
      <c r="D2077" s="14"/>
      <c r="E2077" s="155"/>
      <c r="F2077" s="10"/>
      <c r="G2077" s="17"/>
      <c r="H2077" s="10"/>
      <c r="I2077" s="17"/>
      <c r="J2077" s="82"/>
      <c r="K2077" s="340"/>
      <c r="L2077" s="344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>
      <c r="A2078" s="10"/>
      <c r="B2078" s="226"/>
      <c r="C2078" s="10"/>
      <c r="D2078" s="14"/>
      <c r="E2078" s="155"/>
      <c r="F2078" s="10"/>
      <c r="G2078" s="17"/>
      <c r="H2078" s="10"/>
      <c r="I2078" s="17"/>
      <c r="J2078" s="82"/>
      <c r="K2078" s="340"/>
      <c r="L2078" s="344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>
      <c r="A2079" s="10"/>
      <c r="B2079" s="226"/>
      <c r="C2079" s="10"/>
      <c r="D2079" s="14"/>
      <c r="E2079" s="155"/>
      <c r="F2079" s="10"/>
      <c r="G2079" s="17"/>
      <c r="H2079" s="10"/>
      <c r="I2079" s="17"/>
      <c r="J2079" s="82"/>
      <c r="K2079" s="340"/>
      <c r="L2079" s="344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>
      <c r="A2080" s="10"/>
      <c r="B2080" s="226"/>
      <c r="C2080" s="10"/>
      <c r="D2080" s="14"/>
      <c r="E2080" s="155"/>
      <c r="F2080" s="10"/>
      <c r="G2080" s="17"/>
      <c r="H2080" s="10"/>
      <c r="I2080" s="17"/>
      <c r="J2080" s="82"/>
      <c r="K2080" s="340"/>
      <c r="L2080" s="344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>
      <c r="A2081" s="10"/>
      <c r="B2081" s="226"/>
      <c r="C2081" s="10"/>
      <c r="D2081" s="14"/>
      <c r="E2081" s="155"/>
      <c r="F2081" s="10"/>
      <c r="G2081" s="17"/>
      <c r="H2081" s="10"/>
      <c r="I2081" s="17"/>
      <c r="J2081" s="82"/>
      <c r="K2081" s="340"/>
      <c r="L2081" s="344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>
      <c r="A2082" s="10"/>
      <c r="B2082" s="226"/>
      <c r="C2082" s="10"/>
      <c r="D2082" s="14"/>
      <c r="E2082" s="155"/>
      <c r="F2082" s="10"/>
      <c r="G2082" s="17"/>
      <c r="H2082" s="10"/>
      <c r="I2082" s="17"/>
      <c r="J2082" s="82"/>
      <c r="K2082" s="340"/>
      <c r="L2082" s="344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>
      <c r="A2083" s="10"/>
      <c r="B2083" s="226"/>
      <c r="C2083" s="10"/>
      <c r="D2083" s="14"/>
      <c r="E2083" s="155"/>
      <c r="F2083" s="10"/>
      <c r="G2083" s="17"/>
      <c r="H2083" s="10"/>
      <c r="I2083" s="17"/>
      <c r="J2083" s="82"/>
      <c r="K2083" s="340"/>
      <c r="L2083" s="344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>
      <c r="A2084" s="10"/>
      <c r="B2084" s="226"/>
      <c r="C2084" s="10"/>
      <c r="D2084" s="14"/>
      <c r="E2084" s="155"/>
      <c r="F2084" s="10"/>
      <c r="G2084" s="17"/>
      <c r="H2084" s="10"/>
      <c r="I2084" s="17"/>
      <c r="J2084" s="82"/>
      <c r="K2084" s="340"/>
      <c r="L2084" s="344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>
      <c r="A2085" s="10"/>
      <c r="B2085" s="226"/>
      <c r="C2085" s="10"/>
      <c r="D2085" s="36"/>
      <c r="E2085" s="155"/>
      <c r="F2085" s="10"/>
      <c r="G2085" s="17"/>
      <c r="H2085" s="10"/>
      <c r="I2085" s="17"/>
      <c r="J2085" s="82"/>
      <c r="K2085" s="340"/>
      <c r="L2085" s="344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>
      <c r="A2086" s="10"/>
      <c r="B2086" s="226"/>
      <c r="C2086" s="10"/>
      <c r="D2086" s="36"/>
      <c r="E2086" s="155"/>
      <c r="F2086" s="10"/>
      <c r="G2086" s="17"/>
      <c r="H2086" s="10"/>
      <c r="I2086" s="17"/>
      <c r="J2086" s="82"/>
      <c r="K2086" s="340"/>
      <c r="L2086" s="344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>
      <c r="A2087" s="10"/>
      <c r="B2087" s="226"/>
      <c r="C2087" s="10"/>
      <c r="D2087" s="36"/>
      <c r="E2087" s="155"/>
      <c r="F2087" s="10"/>
      <c r="G2087" s="17"/>
      <c r="H2087" s="10"/>
      <c r="I2087" s="17"/>
      <c r="J2087" s="82"/>
      <c r="K2087" s="340"/>
      <c r="L2087" s="344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>
      <c r="A2088" s="10"/>
      <c r="B2088" s="226"/>
      <c r="C2088" s="10"/>
      <c r="D2088" s="36"/>
      <c r="E2088" s="155"/>
      <c r="F2088" s="10"/>
      <c r="G2088" s="17"/>
      <c r="H2088" s="10"/>
      <c r="I2088" s="17"/>
      <c r="J2088" s="82"/>
      <c r="K2088" s="340"/>
      <c r="L2088" s="344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>
      <c r="A2089" s="10"/>
      <c r="B2089" s="226"/>
      <c r="C2089" s="10"/>
      <c r="D2089" s="36"/>
      <c r="E2089" s="155"/>
      <c r="F2089" s="10"/>
      <c r="G2089" s="17"/>
      <c r="H2089" s="10"/>
      <c r="I2089" s="17"/>
      <c r="J2089" s="82"/>
      <c r="K2089" s="340"/>
      <c r="L2089" s="344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>
      <c r="A2090" s="10"/>
      <c r="B2090" s="226"/>
      <c r="C2090" s="10"/>
      <c r="D2090" s="36"/>
      <c r="E2090" s="155"/>
      <c r="F2090" s="10"/>
      <c r="G2090" s="17"/>
      <c r="H2090" s="10"/>
      <c r="I2090" s="17"/>
      <c r="J2090" s="82"/>
      <c r="K2090" s="340"/>
      <c r="L2090" s="344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>
      <c r="A2091" s="10"/>
      <c r="B2091" s="226"/>
      <c r="C2091" s="10"/>
      <c r="D2091" s="36"/>
      <c r="E2091" s="155"/>
      <c r="F2091" s="10"/>
      <c r="G2091" s="17"/>
      <c r="H2091" s="10"/>
      <c r="I2091" s="17"/>
      <c r="J2091" s="82"/>
      <c r="K2091" s="340"/>
      <c r="L2091" s="344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>
      <c r="A2092" s="10"/>
      <c r="B2092" s="226"/>
      <c r="C2092" s="10"/>
      <c r="D2092" s="36"/>
      <c r="E2092" s="155"/>
      <c r="F2092" s="10"/>
      <c r="G2092" s="17"/>
      <c r="H2092" s="10"/>
      <c r="I2092" s="17"/>
      <c r="J2092" s="82"/>
      <c r="K2092" s="340"/>
      <c r="L2092" s="344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>
      <c r="A2093" s="10"/>
      <c r="B2093" s="226"/>
      <c r="C2093" s="10"/>
      <c r="D2093" s="36"/>
      <c r="E2093" s="155"/>
      <c r="F2093" s="10"/>
      <c r="G2093" s="17"/>
      <c r="H2093" s="10"/>
      <c r="I2093" s="17"/>
      <c r="J2093" s="82"/>
      <c r="K2093" s="340"/>
      <c r="L2093" s="344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>
      <c r="A2094" s="10"/>
      <c r="B2094" s="226"/>
      <c r="C2094" s="10"/>
      <c r="D2094" s="14"/>
      <c r="E2094" s="155"/>
      <c r="F2094" s="10"/>
      <c r="G2094" s="17"/>
      <c r="H2094" s="10"/>
      <c r="I2094" s="17"/>
      <c r="J2094" s="82"/>
      <c r="K2094" s="340"/>
      <c r="L2094" s="344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>
      <c r="A2095" s="10"/>
      <c r="B2095" s="226"/>
      <c r="C2095" s="10"/>
      <c r="D2095" s="14"/>
      <c r="E2095" s="155"/>
      <c r="F2095" s="10"/>
      <c r="G2095" s="17"/>
      <c r="H2095" s="10"/>
      <c r="I2095" s="17"/>
      <c r="J2095" s="82"/>
      <c r="K2095" s="340"/>
      <c r="L2095" s="344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>
      <c r="A2096" s="10"/>
      <c r="B2096" s="226"/>
      <c r="C2096" s="10"/>
      <c r="D2096" s="14"/>
      <c r="E2096" s="155"/>
      <c r="F2096" s="10"/>
      <c r="G2096" s="17"/>
      <c r="H2096" s="10"/>
      <c r="I2096" s="17"/>
      <c r="J2096" s="82"/>
      <c r="K2096" s="340"/>
      <c r="L2096" s="344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>
      <c r="A2097" s="10"/>
      <c r="B2097" s="226"/>
      <c r="C2097" s="10"/>
      <c r="D2097" s="14"/>
      <c r="E2097" s="155"/>
      <c r="F2097" s="10"/>
      <c r="G2097" s="17"/>
      <c r="H2097" s="10"/>
      <c r="I2097" s="17"/>
      <c r="J2097" s="82"/>
      <c r="K2097" s="340"/>
      <c r="L2097" s="344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>
      <c r="A2098" s="10"/>
      <c r="B2098" s="226"/>
      <c r="C2098" s="10"/>
      <c r="D2098" s="14"/>
      <c r="E2098" s="155"/>
      <c r="F2098" s="10"/>
      <c r="G2098" s="17"/>
      <c r="H2098" s="10"/>
      <c r="I2098" s="17"/>
      <c r="J2098" s="82"/>
      <c r="K2098" s="340"/>
      <c r="L2098" s="344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>
      <c r="A2099" s="10"/>
      <c r="B2099" s="226"/>
      <c r="C2099" s="10"/>
      <c r="D2099" s="14"/>
      <c r="E2099" s="155"/>
      <c r="F2099" s="10"/>
      <c r="G2099" s="17"/>
      <c r="H2099" s="10"/>
      <c r="I2099" s="17"/>
      <c r="J2099" s="82"/>
      <c r="K2099" s="340"/>
      <c r="L2099" s="344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>
      <c r="A2100" s="10"/>
      <c r="B2100" s="226"/>
      <c r="C2100" s="10"/>
      <c r="D2100" s="14"/>
      <c r="E2100" s="155"/>
      <c r="F2100" s="10"/>
      <c r="G2100" s="17"/>
      <c r="H2100" s="10"/>
      <c r="I2100" s="17"/>
      <c r="J2100" s="82"/>
      <c r="K2100" s="340"/>
      <c r="L2100" s="344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>
      <c r="A2101" s="10"/>
      <c r="B2101" s="226"/>
      <c r="C2101" s="10"/>
      <c r="D2101" s="14"/>
      <c r="E2101" s="155"/>
      <c r="F2101" s="10"/>
      <c r="G2101" s="17"/>
      <c r="H2101" s="10"/>
      <c r="I2101" s="17"/>
      <c r="J2101" s="82"/>
      <c r="K2101" s="340"/>
      <c r="L2101" s="344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>
      <c r="A2102" s="10"/>
      <c r="B2102" s="226"/>
      <c r="C2102" s="10"/>
      <c r="D2102" s="14"/>
      <c r="E2102" s="155"/>
      <c r="F2102" s="10"/>
      <c r="G2102" s="17"/>
      <c r="H2102" s="10"/>
      <c r="I2102" s="17"/>
      <c r="J2102" s="82"/>
      <c r="K2102" s="340"/>
      <c r="L2102" s="344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>
      <c r="A2103" s="10"/>
      <c r="B2103" s="226"/>
      <c r="C2103" s="10"/>
      <c r="D2103" s="14"/>
      <c r="E2103" s="155"/>
      <c r="F2103" s="10"/>
      <c r="G2103" s="17"/>
      <c r="H2103" s="10"/>
      <c r="I2103" s="17"/>
      <c r="J2103" s="82"/>
      <c r="K2103" s="340"/>
      <c r="L2103" s="344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>
      <c r="A2104" s="10"/>
      <c r="B2104" s="226"/>
      <c r="C2104" s="10"/>
      <c r="D2104" s="14"/>
      <c r="E2104" s="155"/>
      <c r="F2104" s="10"/>
      <c r="G2104" s="17"/>
      <c r="H2104" s="10"/>
      <c r="I2104" s="17"/>
      <c r="J2104" s="82"/>
      <c r="K2104" s="340"/>
      <c r="L2104" s="344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>
      <c r="A2105" s="10"/>
      <c r="B2105" s="226"/>
      <c r="C2105" s="10"/>
      <c r="D2105" s="14"/>
      <c r="E2105" s="155"/>
      <c r="F2105" s="10"/>
      <c r="G2105" s="17"/>
      <c r="H2105" s="10"/>
      <c r="I2105" s="17"/>
      <c r="J2105" s="82"/>
      <c r="K2105" s="340"/>
      <c r="L2105" s="344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>
      <c r="A2106" s="10"/>
      <c r="B2106" s="226"/>
      <c r="C2106" s="10"/>
      <c r="D2106" s="14"/>
      <c r="E2106" s="155"/>
      <c r="F2106" s="10"/>
      <c r="G2106" s="17"/>
      <c r="H2106" s="10"/>
      <c r="I2106" s="17"/>
      <c r="J2106" s="82"/>
      <c r="K2106" s="340"/>
      <c r="L2106" s="344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>
      <c r="A2107" s="10"/>
      <c r="B2107" s="226"/>
      <c r="C2107" s="10"/>
      <c r="D2107" s="14"/>
      <c r="E2107" s="155"/>
      <c r="F2107" s="10"/>
      <c r="G2107" s="17"/>
      <c r="H2107" s="10"/>
      <c r="I2107" s="17"/>
      <c r="J2107" s="82"/>
      <c r="K2107" s="340"/>
      <c r="L2107" s="344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>
      <c r="A2108" s="10"/>
      <c r="B2108" s="226"/>
      <c r="C2108" s="10"/>
      <c r="D2108" s="14"/>
      <c r="E2108" s="155"/>
      <c r="F2108" s="10"/>
      <c r="G2108" s="17"/>
      <c r="H2108" s="10"/>
      <c r="I2108" s="17"/>
      <c r="J2108" s="82"/>
      <c r="K2108" s="340"/>
      <c r="L2108" s="344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>
      <c r="A2109" s="10"/>
      <c r="B2109" s="226"/>
      <c r="C2109" s="10"/>
      <c r="D2109" s="14"/>
      <c r="E2109" s="155"/>
      <c r="F2109" s="10"/>
      <c r="G2109" s="17"/>
      <c r="H2109" s="10"/>
      <c r="I2109" s="17"/>
      <c r="J2109" s="82"/>
      <c r="K2109" s="340"/>
      <c r="L2109" s="344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>
      <c r="A2110" s="10"/>
      <c r="B2110" s="226"/>
      <c r="C2110" s="10"/>
      <c r="D2110" s="14"/>
      <c r="E2110" s="155"/>
      <c r="F2110" s="10"/>
      <c r="G2110" s="17"/>
      <c r="H2110" s="10"/>
      <c r="I2110" s="17"/>
      <c r="J2110" s="82"/>
      <c r="K2110" s="340"/>
      <c r="L2110" s="344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>
      <c r="A2111" s="10"/>
      <c r="B2111" s="226"/>
      <c r="C2111" s="10"/>
      <c r="D2111" s="14"/>
      <c r="E2111" s="155"/>
      <c r="F2111" s="10"/>
      <c r="G2111" s="17"/>
      <c r="H2111" s="10"/>
      <c r="I2111" s="17"/>
      <c r="J2111" s="82"/>
      <c r="K2111" s="340"/>
      <c r="L2111" s="344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>
      <c r="A2112" s="10"/>
      <c r="B2112" s="226"/>
      <c r="C2112" s="10"/>
      <c r="D2112" s="14"/>
      <c r="E2112" s="155"/>
      <c r="F2112" s="10"/>
      <c r="G2112" s="17"/>
      <c r="H2112" s="10"/>
      <c r="I2112" s="17"/>
      <c r="J2112" s="82"/>
      <c r="K2112" s="340"/>
      <c r="L2112" s="344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>
      <c r="A2113" s="10"/>
      <c r="B2113" s="226"/>
      <c r="C2113" s="10"/>
      <c r="D2113" s="14"/>
      <c r="E2113" s="155"/>
      <c r="F2113" s="10"/>
      <c r="G2113" s="17"/>
      <c r="H2113" s="10"/>
      <c r="I2113" s="17"/>
      <c r="J2113" s="82"/>
      <c r="K2113" s="340"/>
      <c r="L2113" s="344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>
      <c r="A2114" s="10"/>
      <c r="B2114" s="226"/>
      <c r="C2114" s="10"/>
      <c r="D2114" s="14"/>
      <c r="E2114" s="155"/>
      <c r="F2114" s="10"/>
      <c r="G2114" s="17"/>
      <c r="H2114" s="10"/>
      <c r="I2114" s="17"/>
      <c r="J2114" s="82"/>
      <c r="K2114" s="340"/>
      <c r="L2114" s="344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>
      <c r="A2115" s="10"/>
      <c r="B2115" s="226"/>
      <c r="C2115" s="10"/>
      <c r="D2115" s="14"/>
      <c r="E2115" s="155"/>
      <c r="F2115" s="10"/>
      <c r="G2115" s="17"/>
      <c r="H2115" s="10"/>
      <c r="I2115" s="17"/>
      <c r="J2115" s="82"/>
      <c r="K2115" s="341"/>
      <c r="L2115" s="344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>
      <c r="A2116" s="10"/>
      <c r="B2116" s="226"/>
      <c r="C2116" s="10"/>
      <c r="D2116" s="14"/>
      <c r="E2116" s="155"/>
      <c r="F2116" s="10"/>
      <c r="G2116" s="17"/>
      <c r="H2116" s="10"/>
      <c r="I2116" s="17"/>
      <c r="J2116" s="82"/>
      <c r="K2116" s="340"/>
      <c r="L2116" s="344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>
      <c r="A2117" s="10"/>
      <c r="B2117" s="226"/>
      <c r="C2117" s="10"/>
      <c r="D2117" s="14"/>
      <c r="E2117" s="155"/>
      <c r="F2117" s="10"/>
      <c r="G2117" s="17"/>
      <c r="H2117" s="10"/>
      <c r="I2117" s="17"/>
      <c r="J2117" s="82"/>
      <c r="K2117" s="340"/>
      <c r="L2117" s="344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>
      <c r="A2118" s="10"/>
      <c r="B2118" s="226"/>
      <c r="C2118" s="10"/>
      <c r="D2118" s="14"/>
      <c r="E2118" s="155"/>
      <c r="F2118" s="10"/>
      <c r="G2118" s="17"/>
      <c r="H2118" s="10"/>
      <c r="I2118" s="17"/>
      <c r="J2118" s="82"/>
      <c r="K2118" s="340"/>
      <c r="L2118" s="344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>
      <c r="A2119" s="10"/>
      <c r="B2119" s="226"/>
      <c r="C2119" s="10"/>
      <c r="D2119" s="14"/>
      <c r="E2119" s="155"/>
      <c r="F2119" s="10"/>
      <c r="G2119" s="17"/>
      <c r="H2119" s="10"/>
      <c r="I2119" s="17"/>
      <c r="J2119" s="82"/>
      <c r="K2119" s="340"/>
      <c r="L2119" s="344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>
      <c r="A2120" s="10"/>
      <c r="B2120" s="226"/>
      <c r="C2120" s="10"/>
      <c r="D2120" s="14"/>
      <c r="E2120" s="155"/>
      <c r="F2120" s="10"/>
      <c r="G2120" s="17"/>
      <c r="H2120" s="10"/>
      <c r="I2120" s="17"/>
      <c r="J2120" s="82"/>
      <c r="K2120" s="340"/>
      <c r="L2120" s="344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>
      <c r="A2121" s="10"/>
      <c r="B2121" s="226"/>
      <c r="C2121" s="10"/>
      <c r="D2121" s="14"/>
      <c r="E2121" s="155"/>
      <c r="F2121" s="10"/>
      <c r="G2121" s="17"/>
      <c r="H2121" s="10"/>
      <c r="I2121" s="17"/>
      <c r="J2121" s="82"/>
      <c r="K2121" s="340"/>
      <c r="L2121" s="344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>
      <c r="A2122" s="10"/>
      <c r="B2122" s="226"/>
      <c r="C2122" s="10"/>
      <c r="D2122" s="14"/>
      <c r="E2122" s="155"/>
      <c r="F2122" s="10"/>
      <c r="G2122" s="17"/>
      <c r="H2122" s="10"/>
      <c r="I2122" s="17"/>
      <c r="J2122" s="82"/>
      <c r="K2122" s="340"/>
      <c r="L2122" s="344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>
      <c r="A2123" s="10"/>
      <c r="B2123" s="226"/>
      <c r="C2123" s="10"/>
      <c r="D2123" s="14"/>
      <c r="E2123" s="155"/>
      <c r="F2123" s="10"/>
      <c r="G2123" s="17"/>
      <c r="H2123" s="10"/>
      <c r="I2123" s="17"/>
      <c r="J2123" s="82"/>
      <c r="K2123" s="340"/>
      <c r="L2123" s="344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>
      <c r="A2124" s="10"/>
      <c r="B2124" s="226"/>
      <c r="C2124" s="10"/>
      <c r="D2124" s="14"/>
      <c r="E2124" s="155"/>
      <c r="F2124" s="10"/>
      <c r="G2124" s="17"/>
      <c r="H2124" s="10"/>
      <c r="I2124" s="17"/>
      <c r="J2124" s="82"/>
      <c r="K2124" s="340"/>
      <c r="L2124" s="344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>
      <c r="A2125" s="10"/>
      <c r="B2125" s="226"/>
      <c r="C2125" s="10"/>
      <c r="D2125" s="14"/>
      <c r="E2125" s="155"/>
      <c r="F2125" s="10"/>
      <c r="G2125" s="17"/>
      <c r="H2125" s="10"/>
      <c r="I2125" s="17"/>
      <c r="J2125" s="82"/>
      <c r="K2125" s="340"/>
      <c r="L2125" s="344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>
      <c r="A2126" s="10"/>
      <c r="B2126" s="226"/>
      <c r="C2126" s="10"/>
      <c r="D2126" s="14"/>
      <c r="E2126" s="155"/>
      <c r="F2126" s="10"/>
      <c r="G2126" s="17"/>
      <c r="H2126" s="10"/>
      <c r="I2126" s="17"/>
      <c r="J2126" s="82"/>
      <c r="K2126" s="340"/>
      <c r="L2126" s="344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>
      <c r="A2127" s="10"/>
      <c r="B2127" s="226"/>
      <c r="C2127" s="10"/>
      <c r="D2127" s="14"/>
      <c r="E2127" s="155"/>
      <c r="F2127" s="10"/>
      <c r="G2127" s="17"/>
      <c r="H2127" s="10"/>
      <c r="I2127" s="17"/>
      <c r="J2127" s="82"/>
      <c r="K2127" s="340"/>
      <c r="L2127" s="344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>
      <c r="A2128" s="10"/>
      <c r="B2128" s="226"/>
      <c r="C2128" s="10"/>
      <c r="D2128" s="14"/>
      <c r="E2128" s="155"/>
      <c r="F2128" s="10"/>
      <c r="G2128" s="17"/>
      <c r="H2128" s="10"/>
      <c r="I2128" s="17"/>
      <c r="J2128" s="82"/>
      <c r="K2128" s="340"/>
      <c r="L2128" s="344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>
      <c r="A2129" s="10"/>
      <c r="B2129" s="226"/>
      <c r="C2129" s="10"/>
      <c r="D2129" s="14"/>
      <c r="E2129" s="155"/>
      <c r="F2129" s="10"/>
      <c r="G2129" s="17"/>
      <c r="H2129" s="10"/>
      <c r="I2129" s="17"/>
      <c r="J2129" s="82"/>
      <c r="K2129" s="340"/>
      <c r="L2129" s="344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>
      <c r="A2130" s="10"/>
      <c r="B2130" s="226"/>
      <c r="C2130" s="10"/>
      <c r="D2130" s="14"/>
      <c r="E2130" s="155"/>
      <c r="F2130" s="10"/>
      <c r="G2130" s="17"/>
      <c r="H2130" s="10"/>
      <c r="I2130" s="17"/>
      <c r="J2130" s="82"/>
      <c r="K2130" s="340"/>
      <c r="L2130" s="344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>
      <c r="A2131" s="10"/>
      <c r="B2131" s="226"/>
      <c r="C2131" s="10"/>
      <c r="D2131" s="14"/>
      <c r="E2131" s="155"/>
      <c r="F2131" s="10"/>
      <c r="G2131" s="17"/>
      <c r="H2131" s="10"/>
      <c r="I2131" s="17"/>
      <c r="J2131" s="82"/>
      <c r="K2131" s="340"/>
      <c r="L2131" s="344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>
      <c r="A2132" s="10"/>
      <c r="B2132" s="226"/>
      <c r="C2132" s="10"/>
      <c r="D2132" s="14"/>
      <c r="E2132" s="155"/>
      <c r="F2132" s="10"/>
      <c r="G2132" s="17"/>
      <c r="H2132" s="10"/>
      <c r="I2132" s="17"/>
      <c r="J2132" s="82"/>
      <c r="K2132" s="340"/>
      <c r="L2132" s="344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>
      <c r="A2133" s="10"/>
      <c r="B2133" s="226"/>
      <c r="C2133" s="10"/>
      <c r="D2133" s="14"/>
      <c r="E2133" s="155"/>
      <c r="F2133" s="10"/>
      <c r="G2133" s="17"/>
      <c r="H2133" s="10"/>
      <c r="I2133" s="17"/>
      <c r="J2133" s="82"/>
      <c r="K2133" s="340"/>
      <c r="L2133" s="344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>
      <c r="A2134" s="10"/>
      <c r="B2134" s="226"/>
      <c r="C2134" s="10"/>
      <c r="D2134" s="14"/>
      <c r="E2134" s="155"/>
      <c r="F2134" s="10"/>
      <c r="G2134" s="17"/>
      <c r="H2134" s="10"/>
      <c r="I2134" s="17"/>
      <c r="J2134" s="82"/>
      <c r="K2134" s="340"/>
      <c r="L2134" s="344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>
      <c r="A2135" s="10"/>
      <c r="B2135" s="226"/>
      <c r="C2135" s="10"/>
      <c r="D2135" s="14"/>
      <c r="E2135" s="155"/>
      <c r="F2135" s="10"/>
      <c r="G2135" s="17"/>
      <c r="H2135" s="10"/>
      <c r="I2135" s="17"/>
      <c r="J2135" s="82"/>
      <c r="K2135" s="340"/>
      <c r="L2135" s="344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>
      <c r="A2136" s="10"/>
      <c r="B2136" s="226"/>
      <c r="C2136" s="10"/>
      <c r="D2136" s="14"/>
      <c r="E2136" s="155"/>
      <c r="F2136" s="10"/>
      <c r="G2136" s="17"/>
      <c r="H2136" s="10"/>
      <c r="I2136" s="17"/>
      <c r="J2136" s="82"/>
      <c r="K2136" s="340"/>
      <c r="L2136" s="344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>
      <c r="A2137" s="10"/>
      <c r="B2137" s="226"/>
      <c r="C2137" s="10"/>
      <c r="D2137" s="14"/>
      <c r="E2137" s="155"/>
      <c r="F2137" s="10"/>
      <c r="G2137" s="17"/>
      <c r="H2137" s="10"/>
      <c r="I2137" s="17"/>
      <c r="J2137" s="82"/>
      <c r="K2137" s="340"/>
      <c r="L2137" s="344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>
      <c r="A2138" s="10"/>
      <c r="B2138" s="226"/>
      <c r="C2138" s="10"/>
      <c r="D2138" s="14"/>
      <c r="E2138" s="155"/>
      <c r="F2138" s="10"/>
      <c r="G2138" s="17"/>
      <c r="H2138" s="10"/>
      <c r="I2138" s="17"/>
      <c r="J2138" s="82"/>
      <c r="K2138" s="340"/>
      <c r="L2138" s="344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>
      <c r="A2139" s="10"/>
      <c r="B2139" s="226"/>
      <c r="C2139" s="10"/>
      <c r="D2139" s="14"/>
      <c r="E2139" s="155"/>
      <c r="F2139" s="10"/>
      <c r="G2139" s="17"/>
      <c r="H2139" s="10"/>
      <c r="I2139" s="17"/>
      <c r="J2139" s="82"/>
      <c r="K2139" s="340"/>
      <c r="L2139" s="344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>
      <c r="A2140" s="10"/>
      <c r="B2140" s="226"/>
      <c r="C2140" s="10"/>
      <c r="D2140" s="14"/>
      <c r="E2140" s="155"/>
      <c r="F2140" s="10"/>
      <c r="G2140" s="17"/>
      <c r="H2140" s="10"/>
      <c r="I2140" s="17"/>
      <c r="J2140" s="82"/>
      <c r="K2140" s="340"/>
      <c r="L2140" s="344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>
      <c r="A2141" s="10"/>
      <c r="B2141" s="226"/>
      <c r="C2141" s="10"/>
      <c r="D2141" s="14"/>
      <c r="E2141" s="155"/>
      <c r="F2141" s="10"/>
      <c r="G2141" s="17"/>
      <c r="H2141" s="10"/>
      <c r="I2141" s="17"/>
      <c r="J2141" s="82"/>
      <c r="K2141" s="340"/>
      <c r="L2141" s="344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>
      <c r="A2142" s="10"/>
      <c r="B2142" s="226"/>
      <c r="C2142" s="10"/>
      <c r="D2142" s="14"/>
      <c r="E2142" s="155"/>
      <c r="F2142" s="10"/>
      <c r="G2142" s="17"/>
      <c r="H2142" s="10"/>
      <c r="I2142" s="17"/>
      <c r="J2142" s="82"/>
      <c r="K2142" s="340"/>
      <c r="L2142" s="344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>
      <c r="A2143" s="10"/>
      <c r="B2143" s="226"/>
      <c r="C2143" s="10"/>
      <c r="D2143" s="14"/>
      <c r="E2143" s="155"/>
      <c r="F2143" s="10"/>
      <c r="G2143" s="17"/>
      <c r="H2143" s="10"/>
      <c r="I2143" s="17"/>
      <c r="J2143" s="82"/>
      <c r="K2143" s="340"/>
      <c r="L2143" s="344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>
      <c r="A2144" s="10"/>
      <c r="B2144" s="226"/>
      <c r="C2144" s="10"/>
      <c r="D2144" s="14"/>
      <c r="E2144" s="155"/>
      <c r="F2144" s="10"/>
      <c r="G2144" s="17"/>
      <c r="H2144" s="10"/>
      <c r="I2144" s="17"/>
      <c r="J2144" s="82"/>
      <c r="K2144" s="340"/>
      <c r="L2144" s="344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>
      <c r="A2145" s="10"/>
      <c r="B2145" s="226"/>
      <c r="C2145" s="10"/>
      <c r="D2145" s="14"/>
      <c r="E2145" s="155"/>
      <c r="F2145" s="10"/>
      <c r="G2145" s="17"/>
      <c r="H2145" s="10"/>
      <c r="I2145" s="17"/>
      <c r="J2145" s="82"/>
      <c r="K2145" s="340"/>
      <c r="L2145" s="344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>
      <c r="A2146" s="10"/>
      <c r="B2146" s="226"/>
      <c r="C2146" s="10"/>
      <c r="D2146" s="14"/>
      <c r="E2146" s="155"/>
      <c r="F2146" s="10"/>
      <c r="G2146" s="17"/>
      <c r="H2146" s="10"/>
      <c r="I2146" s="17"/>
      <c r="J2146" s="82"/>
      <c r="K2146" s="340"/>
      <c r="L2146" s="344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>
      <c r="A2147" s="10"/>
      <c r="B2147" s="226"/>
      <c r="C2147" s="10"/>
      <c r="D2147" s="14"/>
      <c r="E2147" s="155"/>
      <c r="F2147" s="10"/>
      <c r="G2147" s="17"/>
      <c r="H2147" s="10"/>
      <c r="I2147" s="17"/>
      <c r="J2147" s="82"/>
      <c r="K2147" s="340"/>
      <c r="L2147" s="344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>
      <c r="A2148" s="10"/>
      <c r="B2148" s="226"/>
      <c r="C2148" s="10"/>
      <c r="D2148" s="14"/>
      <c r="E2148" s="155"/>
      <c r="F2148" s="10"/>
      <c r="G2148" s="17"/>
      <c r="H2148" s="10"/>
      <c r="I2148" s="17"/>
      <c r="J2148" s="82"/>
      <c r="K2148" s="340"/>
      <c r="L2148" s="344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>
      <c r="A2149" s="10"/>
      <c r="B2149" s="226"/>
      <c r="C2149" s="10"/>
      <c r="D2149" s="14"/>
      <c r="E2149" s="155"/>
      <c r="F2149" s="10"/>
      <c r="G2149" s="17"/>
      <c r="H2149" s="10"/>
      <c r="I2149" s="17"/>
      <c r="J2149" s="82"/>
      <c r="K2149" s="340"/>
      <c r="L2149" s="344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>
      <c r="A2150" s="10"/>
      <c r="B2150" s="226"/>
      <c r="C2150" s="10"/>
      <c r="D2150" s="14"/>
      <c r="E2150" s="155"/>
      <c r="F2150" s="10"/>
      <c r="G2150" s="17"/>
      <c r="H2150" s="10"/>
      <c r="I2150" s="17"/>
      <c r="J2150" s="82"/>
      <c r="K2150" s="340"/>
      <c r="L2150" s="344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>
      <c r="A2151" s="10"/>
      <c r="B2151" s="226"/>
      <c r="C2151" s="10"/>
      <c r="D2151" s="14"/>
      <c r="E2151" s="155"/>
      <c r="F2151" s="10"/>
      <c r="G2151" s="17"/>
      <c r="H2151" s="10"/>
      <c r="I2151" s="17"/>
      <c r="J2151" s="82"/>
      <c r="K2151" s="340"/>
      <c r="L2151" s="344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>
      <c r="A2152" s="10"/>
      <c r="B2152" s="226"/>
      <c r="C2152" s="10"/>
      <c r="D2152" s="14"/>
      <c r="E2152" s="155"/>
      <c r="F2152" s="10"/>
      <c r="G2152" s="17"/>
      <c r="H2152" s="10"/>
      <c r="I2152" s="17"/>
      <c r="J2152" s="82"/>
      <c r="K2152" s="340"/>
      <c r="L2152" s="344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>
      <c r="A2153" s="10"/>
      <c r="B2153" s="226"/>
      <c r="C2153" s="10"/>
      <c r="D2153" s="14"/>
      <c r="E2153" s="155"/>
      <c r="F2153" s="10"/>
      <c r="G2153" s="17"/>
      <c r="H2153" s="10"/>
      <c r="I2153" s="17"/>
      <c r="J2153" s="82"/>
      <c r="K2153" s="340"/>
      <c r="L2153" s="344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>
      <c r="A2154" s="10"/>
      <c r="B2154" s="226"/>
      <c r="C2154" s="10"/>
      <c r="D2154" s="14"/>
      <c r="E2154" s="155"/>
      <c r="F2154" s="10"/>
      <c r="G2154" s="17"/>
      <c r="H2154" s="10"/>
      <c r="I2154" s="17"/>
      <c r="J2154" s="82"/>
      <c r="K2154" s="340"/>
      <c r="L2154" s="344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>
      <c r="A2155" s="10"/>
      <c r="B2155" s="226"/>
      <c r="C2155" s="10"/>
      <c r="D2155" s="14"/>
      <c r="E2155" s="155"/>
      <c r="F2155" s="10"/>
      <c r="G2155" s="17"/>
      <c r="H2155" s="10"/>
      <c r="I2155" s="17"/>
      <c r="J2155" s="82"/>
      <c r="K2155" s="340"/>
      <c r="L2155" s="344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>
      <c r="A2156" s="10"/>
      <c r="B2156" s="226"/>
      <c r="C2156" s="10"/>
      <c r="D2156" s="14"/>
      <c r="E2156" s="155"/>
      <c r="F2156" s="10"/>
      <c r="G2156" s="17"/>
      <c r="H2156" s="10"/>
      <c r="I2156" s="17"/>
      <c r="J2156" s="82"/>
      <c r="K2156" s="340"/>
      <c r="L2156" s="344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>
      <c r="A2157" s="10"/>
      <c r="B2157" s="226"/>
      <c r="C2157" s="10"/>
      <c r="D2157" s="14"/>
      <c r="E2157" s="155"/>
      <c r="F2157" s="10"/>
      <c r="G2157" s="17"/>
      <c r="H2157" s="10"/>
      <c r="I2157" s="17"/>
      <c r="J2157" s="82"/>
      <c r="K2157" s="340"/>
      <c r="L2157" s="344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>
      <c r="A2158" s="10"/>
      <c r="B2158" s="226"/>
      <c r="C2158" s="10"/>
      <c r="D2158" s="14"/>
      <c r="E2158" s="155"/>
      <c r="F2158" s="10"/>
      <c r="G2158" s="17"/>
      <c r="H2158" s="10"/>
      <c r="I2158" s="17"/>
      <c r="J2158" s="82"/>
      <c r="K2158" s="340"/>
      <c r="L2158" s="344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>
      <c r="A2159" s="10"/>
      <c r="B2159" s="226"/>
      <c r="C2159" s="10"/>
      <c r="D2159" s="14"/>
      <c r="E2159" s="155"/>
      <c r="F2159" s="10"/>
      <c r="G2159" s="17"/>
      <c r="H2159" s="10"/>
      <c r="I2159" s="17"/>
      <c r="J2159" s="82"/>
      <c r="K2159" s="340"/>
      <c r="L2159" s="344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>
      <c r="A2160" s="10"/>
      <c r="B2160" s="226"/>
      <c r="C2160" s="10"/>
      <c r="D2160" s="14"/>
      <c r="E2160" s="155"/>
      <c r="F2160" s="10"/>
      <c r="G2160" s="17"/>
      <c r="H2160" s="10"/>
      <c r="I2160" s="17"/>
      <c r="J2160" s="82"/>
      <c r="K2160" s="340"/>
      <c r="L2160" s="344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>
      <c r="A2161" s="10"/>
      <c r="B2161" s="226"/>
      <c r="C2161" s="10"/>
      <c r="D2161" s="14"/>
      <c r="E2161" s="155"/>
      <c r="F2161" s="10"/>
      <c r="G2161" s="17"/>
      <c r="H2161" s="10"/>
      <c r="I2161" s="17"/>
      <c r="J2161" s="82"/>
      <c r="K2161" s="340"/>
      <c r="L2161" s="344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>
      <c r="A2162" s="10"/>
      <c r="B2162" s="226"/>
      <c r="C2162" s="10"/>
      <c r="D2162" s="14"/>
      <c r="E2162" s="155"/>
      <c r="F2162" s="10"/>
      <c r="G2162" s="17"/>
      <c r="H2162" s="10"/>
      <c r="I2162" s="17"/>
      <c r="J2162" s="82"/>
      <c r="K2162" s="340"/>
      <c r="L2162" s="344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>
      <c r="A2163" s="10"/>
      <c r="B2163" s="226"/>
      <c r="C2163" s="10"/>
      <c r="D2163" s="14"/>
      <c r="E2163" s="155"/>
      <c r="F2163" s="10"/>
      <c r="G2163" s="17"/>
      <c r="H2163" s="10"/>
      <c r="I2163" s="17"/>
      <c r="J2163" s="82"/>
      <c r="K2163" s="340"/>
      <c r="L2163" s="344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>
      <c r="A2164" s="10"/>
      <c r="B2164" s="226"/>
      <c r="C2164" s="10"/>
      <c r="D2164" s="14"/>
      <c r="E2164" s="155"/>
      <c r="F2164" s="10"/>
      <c r="G2164" s="17"/>
      <c r="H2164" s="10"/>
      <c r="I2164" s="17"/>
      <c r="J2164" s="82"/>
      <c r="K2164" s="340"/>
      <c r="L2164" s="344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>
      <c r="A2165" s="10"/>
      <c r="B2165" s="226"/>
      <c r="C2165" s="10"/>
      <c r="D2165" s="14"/>
      <c r="E2165" s="155"/>
      <c r="F2165" s="10"/>
      <c r="G2165" s="17"/>
      <c r="H2165" s="10"/>
      <c r="I2165" s="17"/>
      <c r="J2165" s="82"/>
      <c r="K2165" s="340"/>
      <c r="L2165" s="344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>
      <c r="A2166" s="10"/>
      <c r="B2166" s="226"/>
      <c r="C2166" s="10"/>
      <c r="D2166" s="14"/>
      <c r="E2166" s="155"/>
      <c r="F2166" s="10"/>
      <c r="G2166" s="17"/>
      <c r="H2166" s="10"/>
      <c r="I2166" s="17"/>
      <c r="J2166" s="82"/>
      <c r="K2166" s="340"/>
      <c r="L2166" s="344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>
      <c r="A2167" s="10"/>
      <c r="B2167" s="226"/>
      <c r="C2167" s="10"/>
      <c r="D2167" s="14"/>
      <c r="E2167" s="155"/>
      <c r="F2167" s="10"/>
      <c r="G2167" s="17"/>
      <c r="H2167" s="10"/>
      <c r="I2167" s="17"/>
      <c r="J2167" s="82"/>
      <c r="K2167" s="340"/>
      <c r="L2167" s="344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>
      <c r="A2168" s="10"/>
      <c r="B2168" s="226"/>
      <c r="C2168" s="10"/>
      <c r="D2168" s="14"/>
      <c r="E2168" s="155"/>
      <c r="F2168" s="10"/>
      <c r="G2168" s="17"/>
      <c r="H2168" s="10"/>
      <c r="I2168" s="17"/>
      <c r="J2168" s="82"/>
      <c r="K2168" s="340"/>
      <c r="L2168" s="344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>
      <c r="A2169" s="10"/>
      <c r="B2169" s="226"/>
      <c r="C2169" s="10"/>
      <c r="D2169" s="14"/>
      <c r="E2169" s="155"/>
      <c r="F2169" s="10"/>
      <c r="G2169" s="17"/>
      <c r="H2169" s="10"/>
      <c r="I2169" s="17"/>
      <c r="J2169" s="82"/>
      <c r="K2169" s="340"/>
      <c r="L2169" s="344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>
      <c r="A2170" s="10"/>
      <c r="B2170" s="226"/>
      <c r="C2170" s="10"/>
      <c r="D2170" s="14"/>
      <c r="E2170" s="155"/>
      <c r="F2170" s="10"/>
      <c r="G2170" s="17"/>
      <c r="H2170" s="10"/>
      <c r="I2170" s="17"/>
      <c r="J2170" s="82"/>
      <c r="K2170" s="340"/>
      <c r="L2170" s="344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>
      <c r="A2171" s="10"/>
      <c r="B2171" s="226"/>
      <c r="C2171" s="10"/>
      <c r="D2171" s="14"/>
      <c r="E2171" s="155"/>
      <c r="F2171" s="10"/>
      <c r="G2171" s="17"/>
      <c r="H2171" s="10"/>
      <c r="I2171" s="17"/>
      <c r="J2171" s="82"/>
      <c r="K2171" s="340"/>
      <c r="L2171" s="344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>
      <c r="A2172" s="10"/>
      <c r="B2172" s="226"/>
      <c r="C2172" s="10"/>
      <c r="D2172" s="14"/>
      <c r="E2172" s="155"/>
      <c r="F2172" s="10"/>
      <c r="G2172" s="17"/>
      <c r="H2172" s="10"/>
      <c r="I2172" s="17"/>
      <c r="J2172" s="82"/>
      <c r="K2172" s="340"/>
      <c r="L2172" s="344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>
      <c r="A2173" s="10"/>
      <c r="B2173" s="226"/>
      <c r="C2173" s="10"/>
      <c r="D2173" s="14"/>
      <c r="E2173" s="155"/>
      <c r="F2173" s="10"/>
      <c r="G2173" s="17"/>
      <c r="H2173" s="10"/>
      <c r="I2173" s="17"/>
      <c r="J2173" s="82"/>
      <c r="K2173" s="340"/>
      <c r="L2173" s="344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>
      <c r="A2174" s="10"/>
      <c r="B2174" s="226"/>
      <c r="C2174" s="10"/>
      <c r="D2174" s="14"/>
      <c r="E2174" s="155"/>
      <c r="F2174" s="10"/>
      <c r="G2174" s="17"/>
      <c r="H2174" s="10"/>
      <c r="I2174" s="17"/>
      <c r="J2174" s="82"/>
      <c r="K2174" s="340"/>
      <c r="L2174" s="344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>
      <c r="A2175" s="10"/>
      <c r="B2175" s="226"/>
      <c r="C2175" s="10"/>
      <c r="D2175" s="14"/>
      <c r="E2175" s="155"/>
      <c r="F2175" s="10"/>
      <c r="G2175" s="17"/>
      <c r="H2175" s="10"/>
      <c r="I2175" s="17"/>
      <c r="J2175" s="82"/>
      <c r="K2175" s="340"/>
      <c r="L2175" s="344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>
      <c r="A2176" s="10"/>
      <c r="B2176" s="226"/>
      <c r="C2176" s="10"/>
      <c r="D2176" s="14"/>
      <c r="E2176" s="155"/>
      <c r="F2176" s="10"/>
      <c r="G2176" s="17"/>
      <c r="H2176" s="10"/>
      <c r="I2176" s="17"/>
      <c r="J2176" s="82"/>
      <c r="K2176" s="340"/>
      <c r="L2176" s="344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>
      <c r="A2177" s="10"/>
      <c r="B2177" s="226"/>
      <c r="C2177" s="10"/>
      <c r="D2177" s="14"/>
      <c r="E2177" s="155"/>
      <c r="F2177" s="10"/>
      <c r="G2177" s="17"/>
      <c r="H2177" s="10"/>
      <c r="I2177" s="17"/>
      <c r="J2177" s="82"/>
      <c r="K2177" s="340"/>
      <c r="L2177" s="344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>
      <c r="A2178" s="10"/>
      <c r="B2178" s="226"/>
      <c r="C2178" s="10"/>
      <c r="D2178" s="14"/>
      <c r="E2178" s="155"/>
      <c r="F2178" s="10"/>
      <c r="G2178" s="17"/>
      <c r="H2178" s="10"/>
      <c r="I2178" s="17"/>
      <c r="J2178" s="82"/>
      <c r="K2178" s="340"/>
      <c r="L2178" s="344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>
      <c r="A2179" s="10"/>
      <c r="B2179" s="226"/>
      <c r="C2179" s="10"/>
      <c r="D2179" s="14"/>
      <c r="E2179" s="155"/>
      <c r="F2179" s="10"/>
      <c r="G2179" s="17"/>
      <c r="H2179" s="10"/>
      <c r="I2179" s="17"/>
      <c r="J2179" s="82"/>
      <c r="K2179" s="340"/>
      <c r="L2179" s="344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>
      <c r="A2180" s="10"/>
      <c r="B2180" s="226"/>
      <c r="C2180" s="10"/>
      <c r="D2180" s="14"/>
      <c r="E2180" s="155"/>
      <c r="F2180" s="10"/>
      <c r="G2180" s="17"/>
      <c r="H2180" s="10"/>
      <c r="I2180" s="17"/>
      <c r="J2180" s="82"/>
      <c r="K2180" s="340"/>
      <c r="L2180" s="344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>
      <c r="A2181" s="10"/>
      <c r="B2181" s="226"/>
      <c r="C2181" s="10"/>
      <c r="D2181" s="14"/>
      <c r="E2181" s="155"/>
      <c r="F2181" s="10"/>
      <c r="G2181" s="17"/>
      <c r="H2181" s="10"/>
      <c r="I2181" s="17"/>
      <c r="J2181" s="82"/>
      <c r="K2181" s="340"/>
      <c r="L2181" s="344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>
      <c r="A2182" s="10"/>
      <c r="B2182" s="226"/>
      <c r="C2182" s="10"/>
      <c r="D2182" s="14"/>
      <c r="E2182" s="155"/>
      <c r="F2182" s="10"/>
      <c r="G2182" s="17"/>
      <c r="H2182" s="10"/>
      <c r="I2182" s="17"/>
      <c r="J2182" s="82"/>
      <c r="K2182" s="340"/>
      <c r="L2182" s="344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>
      <c r="A2183" s="10"/>
      <c r="B2183" s="226"/>
      <c r="C2183" s="10"/>
      <c r="D2183" s="14"/>
      <c r="E2183" s="155"/>
      <c r="F2183" s="10"/>
      <c r="G2183" s="17"/>
      <c r="H2183" s="10"/>
      <c r="I2183" s="17"/>
      <c r="J2183" s="82"/>
      <c r="K2183" s="340"/>
      <c r="L2183" s="344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>
      <c r="A2184" s="10"/>
      <c r="B2184" s="226"/>
      <c r="C2184" s="10"/>
      <c r="D2184" s="14"/>
      <c r="E2184" s="155"/>
      <c r="F2184" s="10"/>
      <c r="G2184" s="17"/>
      <c r="H2184" s="10"/>
      <c r="I2184" s="17"/>
      <c r="J2184" s="82"/>
      <c r="K2184" s="340"/>
      <c r="L2184" s="344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>
      <c r="A2185" s="10"/>
      <c r="B2185" s="226"/>
      <c r="C2185" s="10"/>
      <c r="D2185" s="14"/>
      <c r="E2185" s="155"/>
      <c r="F2185" s="10"/>
      <c r="G2185" s="17"/>
      <c r="H2185" s="10"/>
      <c r="I2185" s="17"/>
      <c r="J2185" s="82"/>
      <c r="K2185" s="340"/>
      <c r="L2185" s="344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>
      <c r="A2186" s="10"/>
      <c r="B2186" s="226"/>
      <c r="C2186" s="10"/>
      <c r="D2186" s="14"/>
      <c r="E2186" s="155"/>
      <c r="F2186" s="10"/>
      <c r="G2186" s="17"/>
      <c r="H2186" s="10"/>
      <c r="I2186" s="17"/>
      <c r="J2186" s="82"/>
      <c r="K2186" s="340"/>
      <c r="L2186" s="344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>
      <c r="A2187" s="10"/>
      <c r="B2187" s="226"/>
      <c r="C2187" s="10"/>
      <c r="D2187" s="14"/>
      <c r="E2187" s="155"/>
      <c r="F2187" s="10"/>
      <c r="G2187" s="17"/>
      <c r="H2187" s="10"/>
      <c r="I2187" s="17"/>
      <c r="J2187" s="82"/>
      <c r="K2187" s="340"/>
      <c r="L2187" s="344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>
      <c r="A2188" s="10"/>
      <c r="B2188" s="226"/>
      <c r="C2188" s="10"/>
      <c r="D2188" s="14"/>
      <c r="E2188" s="155"/>
      <c r="F2188" s="10"/>
      <c r="G2188" s="17"/>
      <c r="H2188" s="10"/>
      <c r="I2188" s="17"/>
      <c r="J2188" s="82"/>
      <c r="K2188" s="340"/>
      <c r="L2188" s="344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>
      <c r="A2189" s="10"/>
      <c r="B2189" s="226"/>
      <c r="C2189" s="10"/>
      <c r="D2189" s="14"/>
      <c r="E2189" s="155"/>
      <c r="F2189" s="10"/>
      <c r="G2189" s="17"/>
      <c r="H2189" s="10"/>
      <c r="I2189" s="17"/>
      <c r="J2189" s="82"/>
      <c r="K2189" s="340"/>
      <c r="L2189" s="344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>
      <c r="A2190" s="10"/>
      <c r="B2190" s="226"/>
      <c r="C2190" s="10"/>
      <c r="D2190" s="14"/>
      <c r="E2190" s="155"/>
      <c r="F2190" s="10"/>
      <c r="G2190" s="17"/>
      <c r="H2190" s="10"/>
      <c r="I2190" s="17"/>
      <c r="J2190" s="82"/>
      <c r="K2190" s="340"/>
      <c r="L2190" s="344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>
      <c r="A2191" s="10"/>
      <c r="B2191" s="226"/>
      <c r="C2191" s="10"/>
      <c r="D2191" s="14"/>
      <c r="E2191" s="155"/>
      <c r="F2191" s="10"/>
      <c r="G2191" s="17"/>
      <c r="H2191" s="10"/>
      <c r="I2191" s="17"/>
      <c r="J2191" s="82"/>
      <c r="K2191" s="340"/>
      <c r="L2191" s="344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>
      <c r="A2192" s="10"/>
      <c r="B2192" s="226"/>
      <c r="C2192" s="10"/>
      <c r="D2192" s="14"/>
      <c r="E2192" s="155"/>
      <c r="F2192" s="10"/>
      <c r="G2192" s="17"/>
      <c r="H2192" s="10"/>
      <c r="I2192" s="17"/>
      <c r="J2192" s="82"/>
      <c r="K2192" s="340"/>
      <c r="L2192" s="344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>
      <c r="A2193" s="17" t="s">
        <v>768</v>
      </c>
      <c r="B2193" s="227"/>
      <c r="C2193" s="17"/>
      <c r="D2193" s="18"/>
      <c r="E2193" s="235"/>
      <c r="F2193" s="17"/>
      <c r="G2193" s="17"/>
      <c r="H2193" s="17"/>
      <c r="I2193" s="17"/>
      <c r="J2193" s="83"/>
      <c r="K2193" s="340"/>
      <c r="L2193" s="344"/>
      <c r="M2193" s="89"/>
      <c r="N2193" s="17"/>
      <c r="O2193" s="25"/>
      <c r="P2193" s="91"/>
      <c r="Q2193" s="177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>
      <c r="A2194" s="10" t="s">
        <v>254</v>
      </c>
      <c r="B2194" s="226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5" t="s">
        <v>257</v>
      </c>
      <c r="F2194" s="14" t="s">
        <v>352</v>
      </c>
      <c r="G2194" s="17" t="s">
        <v>9</v>
      </c>
      <c r="H2194" s="10"/>
      <c r="I2194" s="17"/>
      <c r="J2194" s="82"/>
      <c r="K2194" s="341">
        <v>0.59596199999999999</v>
      </c>
      <c r="L2194" s="344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8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>
      <c r="A2195" s="10" t="s">
        <v>254</v>
      </c>
      <c r="B2195" s="226" t="s">
        <v>1512</v>
      </c>
      <c r="C2195" s="10" t="s">
        <v>107</v>
      </c>
      <c r="D2195" s="14" t="str">
        <v>Black Aluminium Mesh 1.6mm</v>
      </c>
      <c r="E2195" s="155" t="s">
        <v>269</v>
      </c>
      <c r="F2195" s="14" t="s">
        <v>356</v>
      </c>
      <c r="G2195" s="17"/>
      <c r="H2195" s="10"/>
      <c r="I2195" s="17"/>
      <c r="J2195" s="82"/>
      <c r="K2195" s="340"/>
      <c r="L2195" s="344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8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>
      <c r="A2196" s="10" t="s">
        <v>254</v>
      </c>
      <c r="B2196" s="226" t="s">
        <v>1512</v>
      </c>
      <c r="C2196" s="10" t="s">
        <v>107</v>
      </c>
      <c r="D2196" s="14" t="str">
        <v>Black Aluminium Mesh 1.8mm</v>
      </c>
      <c r="E2196" s="155"/>
      <c r="F2196" s="10"/>
      <c r="G2196" s="17"/>
      <c r="H2196" s="10"/>
      <c r="I2196" s="17"/>
      <c r="J2196" s="82"/>
      <c r="K2196" s="340"/>
      <c r="L2196" s="344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16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>
      <c r="A2197" s="10" t="s">
        <v>254</v>
      </c>
      <c r="B2197" s="226" t="s">
        <v>1512</v>
      </c>
      <c r="C2197" s="10" t="s">
        <v>107</v>
      </c>
      <c r="D2197" s="14" t="str">
        <v>Black Stainless Steel Mesh 1.0mm</v>
      </c>
      <c r="E2197" s="155"/>
      <c r="F2197" s="10"/>
      <c r="G2197" s="17"/>
      <c r="H2197" s="10"/>
      <c r="I2197" s="17"/>
      <c r="J2197" s="82"/>
      <c r="K2197" s="340"/>
      <c r="L2197" s="344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16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>
      <c r="A2198" s="10" t="s">
        <v>254</v>
      </c>
      <c r="B2198" s="226" t="s">
        <v>1512</v>
      </c>
      <c r="C2198" s="10" t="s">
        <v>107</v>
      </c>
      <c r="D2198" s="14" t="str">
        <v/>
      </c>
      <c r="E2198" s="155"/>
      <c r="F2198" s="10"/>
      <c r="G2198" s="17"/>
      <c r="H2198" s="10"/>
      <c r="I2198" s="17"/>
      <c r="J2198" s="82"/>
      <c r="K2198" s="340"/>
      <c r="L2198" s="344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16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>
      <c r="A2199" s="10" t="s">
        <v>254</v>
      </c>
      <c r="B2199" s="226" t="s">
        <v>1512</v>
      </c>
      <c r="C2199" s="10" t="s">
        <v>107</v>
      </c>
      <c r="D2199" s="14" t="str">
        <v/>
      </c>
      <c r="E2199" s="155"/>
      <c r="F2199" s="10"/>
      <c r="G2199" s="17"/>
      <c r="H2199" s="10"/>
      <c r="I2199" s="17"/>
      <c r="J2199" s="82"/>
      <c r="K2199" s="340"/>
      <c r="L2199" s="344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16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>
      <c r="A2200" s="10" t="s">
        <v>254</v>
      </c>
      <c r="B2200" s="226" t="s">
        <v>1512</v>
      </c>
      <c r="C2200" s="10" t="s">
        <v>107</v>
      </c>
      <c r="D2200" s="14" t="str">
        <v/>
      </c>
      <c r="E2200" s="155"/>
      <c r="F2200" s="10"/>
      <c r="G2200" s="17"/>
      <c r="H2200" s="10"/>
      <c r="I2200" s="17"/>
      <c r="J2200" s="82"/>
      <c r="K2200" s="340"/>
      <c r="L2200" s="344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8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>
      <c r="A2201" s="10" t="s">
        <v>254</v>
      </c>
      <c r="B2201" s="226" t="s">
        <v>1512</v>
      </c>
      <c r="C2201" s="10" t="s">
        <v>107</v>
      </c>
      <c r="D2201" s="14" t="str">
        <v/>
      </c>
      <c r="E2201" s="155"/>
      <c r="F2201" s="10"/>
      <c r="G2201" s="17"/>
      <c r="H2201" s="10"/>
      <c r="I2201" s="17"/>
      <c r="J2201" s="82"/>
      <c r="K2201" s="340"/>
      <c r="L2201" s="344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8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>
      <c r="A2202" s="10" t="s">
        <v>254</v>
      </c>
      <c r="B2202" s="226" t="s">
        <v>1512</v>
      </c>
      <c r="C2202" s="10" t="s">
        <v>107</v>
      </c>
      <c r="D2202" s="14" t="str">
        <v/>
      </c>
      <c r="E2202" s="155"/>
      <c r="F2202" s="10"/>
      <c r="G2202" s="17"/>
      <c r="H2202" s="10"/>
      <c r="I2202" s="17"/>
      <c r="J2202" s="82"/>
      <c r="K2202" s="340"/>
      <c r="L2202" s="344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32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>
      <c r="A2203" s="10" t="s">
        <v>254</v>
      </c>
      <c r="B2203" s="226" t="s">
        <v>1512</v>
      </c>
      <c r="C2203" s="10" t="s">
        <v>107</v>
      </c>
      <c r="D2203" s="14" t="str">
        <v/>
      </c>
      <c r="E2203" s="155"/>
      <c r="F2203" s="10"/>
      <c r="G2203" s="17"/>
      <c r="H2203" s="10"/>
      <c r="I2203" s="17"/>
      <c r="J2203" s="82"/>
      <c r="K2203" s="340"/>
      <c r="L2203" s="344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32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>
      <c r="A2204" s="10" t="s">
        <v>254</v>
      </c>
      <c r="B2204" s="226" t="s">
        <v>1512</v>
      </c>
      <c r="C2204" s="10" t="s">
        <v>107</v>
      </c>
      <c r="D2204" s="14"/>
      <c r="E2204" s="155"/>
      <c r="F2204" s="10"/>
      <c r="G2204" s="17"/>
      <c r="H2204" s="10"/>
      <c r="I2204" s="17"/>
      <c r="J2204" s="82"/>
      <c r="K2204" s="340"/>
      <c r="L2204" s="344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8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>
      <c r="A2205" s="10" t="s">
        <v>254</v>
      </c>
      <c r="B2205" s="226" t="s">
        <v>1512</v>
      </c>
      <c r="C2205" s="10" t="s">
        <v>107</v>
      </c>
      <c r="D2205" s="14"/>
      <c r="E2205" s="155"/>
      <c r="F2205" s="10"/>
      <c r="G2205" s="17"/>
      <c r="H2205" s="10"/>
      <c r="I2205" s="17"/>
      <c r="J2205" s="82"/>
      <c r="K2205" s="340"/>
      <c r="L2205" s="344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>
      <c r="A2206" s="10" t="s">
        <v>254</v>
      </c>
      <c r="B2206" s="226" t="s">
        <v>1512</v>
      </c>
      <c r="C2206" s="10" t="s">
        <v>107</v>
      </c>
      <c r="E2206" s="237"/>
      <c r="F2206" s="10"/>
      <c r="G2206" s="17"/>
      <c r="H2206" s="10"/>
      <c r="I2206" s="17"/>
      <c r="J2206" s="82"/>
      <c r="K2206" s="340"/>
      <c r="L2206" s="344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Breezway 102mm Glass Infill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>
      <c r="A2207" s="10" t="s">
        <v>254</v>
      </c>
      <c r="B2207" s="226" t="s">
        <v>1512</v>
      </c>
      <c r="C2207" s="10" t="s">
        <v>107</v>
      </c>
      <c r="D2207" s="14"/>
      <c r="E2207" s="155"/>
      <c r="F2207" s="10"/>
      <c r="G2207" s="17"/>
      <c r="H2207" s="10"/>
      <c r="I2207" s="17"/>
      <c r="J2207" s="82"/>
      <c r="K2207" s="340"/>
      <c r="L2207" s="344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>
      <c r="A2208" s="10" t="s">
        <v>254</v>
      </c>
      <c r="B2208" s="226" t="s">
        <v>1512</v>
      </c>
      <c r="C2208" s="10" t="s">
        <v>107</v>
      </c>
      <c r="D2208" s="14"/>
      <c r="E2208" s="155"/>
      <c r="F2208" s="10"/>
      <c r="G2208" s="17"/>
      <c r="H2208" s="10"/>
      <c r="I2208" s="17"/>
      <c r="J2208" s="82"/>
      <c r="K2208" s="340"/>
      <c r="L2208" s="344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>
      <c r="A2209" s="10" t="s">
        <v>254</v>
      </c>
      <c r="B2209" s="226" t="s">
        <v>1512</v>
      </c>
      <c r="C2209" s="10" t="s">
        <v>107</v>
      </c>
      <c r="D2209" s="14"/>
      <c r="E2209" s="155"/>
      <c r="F2209" s="10"/>
      <c r="G2209" s="17"/>
      <c r="H2209" s="10"/>
      <c r="I2209" s="17"/>
      <c r="J2209" s="82"/>
      <c r="K2209" s="340"/>
      <c r="L2209" s="344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>
      <c r="A2210" s="10" t="s">
        <v>254</v>
      </c>
      <c r="B2210" s="226" t="s">
        <v>1512</v>
      </c>
      <c r="C2210" s="10" t="s">
        <v>107</v>
      </c>
      <c r="D2210" s="14"/>
      <c r="E2210" s="155"/>
      <c r="F2210" s="10"/>
      <c r="G2210" s="17"/>
      <c r="H2210" s="10"/>
      <c r="I2210" s="17"/>
      <c r="J2210" s="82"/>
      <c r="K2210" s="340"/>
      <c r="L2210" s="344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>
      <c r="A2211" s="10" t="s">
        <v>254</v>
      </c>
      <c r="B2211" s="226" t="s">
        <v>1512</v>
      </c>
      <c r="C2211" s="10"/>
      <c r="D2211" s="14"/>
      <c r="E2211" s="155"/>
      <c r="F2211" s="10"/>
      <c r="G2211" s="17"/>
      <c r="H2211" s="10"/>
      <c r="I2211" s="17"/>
      <c r="J2211" s="82"/>
      <c r="K2211" s="340"/>
      <c r="L2211" s="344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>
      <c r="A2212" s="10" t="s">
        <v>254</v>
      </c>
      <c r="B2212" s="226" t="s">
        <v>1512</v>
      </c>
      <c r="C2212" s="10" t="s">
        <v>97</v>
      </c>
      <c r="D2212" s="14"/>
      <c r="E2212" s="155" t="s">
        <v>257</v>
      </c>
      <c r="F2212" s="14" t="s">
        <v>352</v>
      </c>
      <c r="G2212" s="17" t="s">
        <v>9</v>
      </c>
      <c r="H2212" s="10"/>
      <c r="I2212" s="17"/>
      <c r="J2212" s="82"/>
      <c r="K2212" s="341">
        <v>0.59596199999999999</v>
      </c>
      <c r="L2212" s="344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8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>
      <c r="A2213" s="10" t="s">
        <v>254</v>
      </c>
      <c r="B2213" s="226" t="s">
        <v>1512</v>
      </c>
      <c r="C2213" s="10" t="s">
        <v>97</v>
      </c>
      <c r="D2213" s="14"/>
      <c r="E2213" s="155" t="s">
        <v>269</v>
      </c>
      <c r="F2213" s="14" t="s">
        <v>356</v>
      </c>
      <c r="G2213" s="17"/>
      <c r="H2213" s="10"/>
      <c r="I2213" s="17"/>
      <c r="J2213" s="82"/>
      <c r="K2213" s="340"/>
      <c r="L2213" s="344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8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>
      <c r="A2214" s="10" t="s">
        <v>254</v>
      </c>
      <c r="B2214" s="226" t="s">
        <v>1512</v>
      </c>
      <c r="C2214" s="10" t="s">
        <v>97</v>
      </c>
      <c r="D2214" s="14"/>
      <c r="E2214" s="155"/>
      <c r="F2214" s="10"/>
      <c r="G2214" s="17"/>
      <c r="H2214" s="10"/>
      <c r="I2214" s="17"/>
      <c r="J2214" s="82"/>
      <c r="K2214" s="340"/>
      <c r="L2214" s="344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16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>
      <c r="A2215" s="10" t="s">
        <v>254</v>
      </c>
      <c r="B2215" s="226" t="s">
        <v>1512</v>
      </c>
      <c r="C2215" s="10" t="s">
        <v>97</v>
      </c>
      <c r="D2215" s="14"/>
      <c r="E2215" s="155"/>
      <c r="F2215" s="10"/>
      <c r="G2215" s="17"/>
      <c r="H2215" s="10"/>
      <c r="I2215" s="17"/>
      <c r="J2215" s="82"/>
      <c r="K2215" s="340"/>
      <c r="L2215" s="344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16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>
      <c r="A2216" s="10" t="s">
        <v>254</v>
      </c>
      <c r="B2216" s="226" t="s">
        <v>1512</v>
      </c>
      <c r="C2216" s="10" t="s">
        <v>97</v>
      </c>
      <c r="D2216" s="14"/>
      <c r="E2216" s="155"/>
      <c r="F2216" s="10"/>
      <c r="G2216" s="17"/>
      <c r="H2216" s="10"/>
      <c r="I2216" s="17"/>
      <c r="J2216" s="82"/>
      <c r="K2216" s="340"/>
      <c r="L2216" s="344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16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>
      <c r="A2217" s="10" t="s">
        <v>254</v>
      </c>
      <c r="B2217" s="226" t="s">
        <v>1512</v>
      </c>
      <c r="C2217" s="10" t="s">
        <v>97</v>
      </c>
      <c r="D2217" s="14"/>
      <c r="E2217" s="155"/>
      <c r="F2217" s="10"/>
      <c r="G2217" s="17"/>
      <c r="H2217" s="10"/>
      <c r="I2217" s="17"/>
      <c r="J2217" s="82"/>
      <c r="K2217" s="340"/>
      <c r="L2217" s="344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16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>
      <c r="A2218" s="10" t="s">
        <v>254</v>
      </c>
      <c r="B2218" s="226" t="s">
        <v>1512</v>
      </c>
      <c r="C2218" s="10" t="s">
        <v>97</v>
      </c>
      <c r="D2218" s="14"/>
      <c r="E2218" s="155"/>
      <c r="F2218" s="10"/>
      <c r="G2218" s="17"/>
      <c r="H2218" s="10"/>
      <c r="I2218" s="17"/>
      <c r="J2218" s="82"/>
      <c r="K2218" s="340"/>
      <c r="L2218" s="344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8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>
      <c r="A2219" s="10" t="s">
        <v>254</v>
      </c>
      <c r="B2219" s="226" t="s">
        <v>1512</v>
      </c>
      <c r="C2219" s="10" t="s">
        <v>97</v>
      </c>
      <c r="D2219" s="14"/>
      <c r="E2219" s="155"/>
      <c r="F2219" s="10"/>
      <c r="G2219" s="17"/>
      <c r="H2219" s="10"/>
      <c r="I2219" s="17"/>
      <c r="J2219" s="82"/>
      <c r="K2219" s="340"/>
      <c r="L2219" s="344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8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>
      <c r="A2220" s="10" t="s">
        <v>254</v>
      </c>
      <c r="B2220" s="226" t="s">
        <v>1512</v>
      </c>
      <c r="C2220" s="10" t="s">
        <v>97</v>
      </c>
      <c r="D2220" s="14"/>
      <c r="E2220" s="155"/>
      <c r="F2220" s="10"/>
      <c r="G2220" s="17"/>
      <c r="H2220" s="10"/>
      <c r="I2220" s="17"/>
      <c r="J2220" s="82"/>
      <c r="K2220" s="340"/>
      <c r="L2220" s="344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32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>
      <c r="A2221" s="10" t="s">
        <v>254</v>
      </c>
      <c r="B2221" s="226" t="s">
        <v>1512</v>
      </c>
      <c r="C2221" s="10" t="s">
        <v>97</v>
      </c>
      <c r="D2221" s="14"/>
      <c r="E2221" s="155"/>
      <c r="F2221" s="10"/>
      <c r="G2221" s="17"/>
      <c r="H2221" s="10"/>
      <c r="I2221" s="17"/>
      <c r="J2221" s="82"/>
      <c r="K2221" s="340"/>
      <c r="L2221" s="344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32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>
      <c r="A2222" s="10" t="s">
        <v>254</v>
      </c>
      <c r="B2222" s="226" t="s">
        <v>1512</v>
      </c>
      <c r="C2222" s="10" t="s">
        <v>97</v>
      </c>
      <c r="D2222" s="14"/>
      <c r="E2222" s="155"/>
      <c r="F2222" s="10"/>
      <c r="G2222" s="17"/>
      <c r="H2222" s="10"/>
      <c r="I2222" s="17"/>
      <c r="J2222" s="82"/>
      <c r="K2222" s="340"/>
      <c r="L2222" s="344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8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>
      <c r="A2223" s="10" t="s">
        <v>254</v>
      </c>
      <c r="B2223" s="226" t="s">
        <v>1512</v>
      </c>
      <c r="C2223" s="10" t="s">
        <v>97</v>
      </c>
      <c r="D2223" s="14"/>
      <c r="E2223" s="155"/>
      <c r="F2223" s="10"/>
      <c r="G2223" s="17"/>
      <c r="H2223" s="10"/>
      <c r="I2223" s="17"/>
      <c r="J2223" s="82"/>
      <c r="K2223" s="340"/>
      <c r="L2223" s="344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>
      <c r="A2224" s="10" t="s">
        <v>254</v>
      </c>
      <c r="B2224" s="226" t="s">
        <v>1512</v>
      </c>
      <c r="C2224" s="10" t="s">
        <v>97</v>
      </c>
      <c r="D2224" s="14"/>
      <c r="E2224" s="155"/>
      <c r="F2224" s="10"/>
      <c r="G2224" s="17"/>
      <c r="H2224" s="10"/>
      <c r="I2224" s="17"/>
      <c r="J2224" s="82"/>
      <c r="K2224" s="340"/>
      <c r="L2224" s="344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>
      <c r="A2225" s="10" t="s">
        <v>254</v>
      </c>
      <c r="B2225" s="226" t="s">
        <v>1512</v>
      </c>
      <c r="C2225" s="10" t="s">
        <v>97</v>
      </c>
      <c r="D2225" s="14"/>
      <c r="E2225" s="155"/>
      <c r="F2225" s="10"/>
      <c r="G2225" s="17"/>
      <c r="H2225" s="10"/>
      <c r="I2225" s="17"/>
      <c r="J2225" s="82"/>
      <c r="K2225" s="340"/>
      <c r="L2225" s="344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Breezway 102mm Glass Infill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>
      <c r="A2226" s="10" t="s">
        <v>254</v>
      </c>
      <c r="B2226" s="226" t="s">
        <v>1512</v>
      </c>
      <c r="C2226" s="10" t="s">
        <v>97</v>
      </c>
      <c r="D2226" s="14"/>
      <c r="E2226" s="155"/>
      <c r="F2226" s="10"/>
      <c r="G2226" s="17"/>
      <c r="H2226" s="10"/>
      <c r="I2226" s="17"/>
      <c r="J2226" s="82"/>
      <c r="K2226" s="340"/>
      <c r="L2226" s="344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>
      <c r="A2227" s="10" t="s">
        <v>254</v>
      </c>
      <c r="B2227" s="226" t="s">
        <v>1512</v>
      </c>
      <c r="C2227" s="10" t="s">
        <v>97</v>
      </c>
      <c r="D2227" s="14"/>
      <c r="E2227" s="155"/>
      <c r="F2227" s="10"/>
      <c r="G2227" s="17"/>
      <c r="H2227" s="10"/>
      <c r="I2227" s="17"/>
      <c r="J2227" s="82"/>
      <c r="K2227" s="340"/>
      <c r="L2227" s="344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>
      <c r="A2228" s="10" t="s">
        <v>254</v>
      </c>
      <c r="B2228" s="226" t="s">
        <v>1512</v>
      </c>
      <c r="C2228" s="10" t="s">
        <v>97</v>
      </c>
      <c r="D2228" s="14"/>
      <c r="E2228" s="155"/>
      <c r="F2228" s="10"/>
      <c r="G2228" s="17"/>
      <c r="H2228" s="10"/>
      <c r="I2228" s="17"/>
      <c r="J2228" s="82"/>
      <c r="K2228" s="340"/>
      <c r="L2228" s="344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>
      <c r="A2229" s="10" t="s">
        <v>254</v>
      </c>
      <c r="B2229" s="226" t="s">
        <v>1512</v>
      </c>
      <c r="C2229" s="10"/>
      <c r="D2229" s="14"/>
      <c r="E2229" s="155"/>
      <c r="F2229" s="10"/>
      <c r="G2229" s="17"/>
      <c r="H2229" s="10"/>
      <c r="I2229" s="17"/>
      <c r="J2229" s="82"/>
      <c r="K2229" s="340"/>
      <c r="L2229" s="344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>
      <c r="A2230" s="10" t="s">
        <v>254</v>
      </c>
      <c r="B2230" s="226" t="s">
        <v>1512</v>
      </c>
      <c r="C2230" s="10"/>
      <c r="D2230" s="14"/>
      <c r="E2230" s="155"/>
      <c r="F2230" s="10"/>
      <c r="G2230" s="17"/>
      <c r="H2230" s="10"/>
      <c r="I2230" s="17"/>
      <c r="J2230" s="82"/>
      <c r="K2230" s="340"/>
      <c r="L2230" s="344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>
      <c r="A2231" s="10" t="s">
        <v>254</v>
      </c>
      <c r="B2231" s="226" t="s">
        <v>1512</v>
      </c>
      <c r="C2231" s="10"/>
      <c r="D2231" s="14"/>
      <c r="E2231" s="155"/>
      <c r="F2231" s="10"/>
      <c r="G2231" s="17"/>
      <c r="H2231" s="10"/>
      <c r="I2231" s="17"/>
      <c r="J2231" s="82"/>
      <c r="K2231" s="340"/>
      <c r="L2231" s="344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>
      <c r="A2232" s="10" t="s">
        <v>254</v>
      </c>
      <c r="B2232" s="226" t="s">
        <v>1512</v>
      </c>
      <c r="C2232" s="10"/>
      <c r="D2232" s="14"/>
      <c r="E2232" s="155"/>
      <c r="F2232" s="10"/>
      <c r="G2232" s="17"/>
      <c r="H2232" s="10"/>
      <c r="I2232" s="17"/>
      <c r="J2232" s="82"/>
      <c r="K2232" s="340"/>
      <c r="L2232" s="344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>
      <c r="A2233" s="10" t="s">
        <v>254</v>
      </c>
      <c r="B2233" s="226" t="s">
        <v>1512</v>
      </c>
      <c r="C2233" s="10"/>
      <c r="D2233" s="14"/>
      <c r="E2233" s="155"/>
      <c r="F2233" s="10"/>
      <c r="G2233" s="17"/>
      <c r="H2233" s="10"/>
      <c r="I2233" s="17"/>
      <c r="J2233" s="82"/>
      <c r="K2233" s="340"/>
      <c r="L2233" s="344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P/C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64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>
      <c r="A2234" s="10" t="s">
        <v>254</v>
      </c>
      <c r="B2234" s="226" t="s">
        <v>1512</v>
      </c>
      <c r="C2234" s="10"/>
      <c r="D2234" s="14"/>
      <c r="E2234" s="155"/>
      <c r="F2234" s="10"/>
      <c r="G2234" s="17"/>
      <c r="H2234" s="10"/>
      <c r="I2234" s="17"/>
      <c r="J2234" s="82"/>
      <c r="K2234" s="340"/>
      <c r="L2234" s="344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32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>
      <c r="A2235" s="10" t="s">
        <v>254</v>
      </c>
      <c r="B2235" s="226" t="s">
        <v>1512</v>
      </c>
      <c r="C2235" s="10"/>
      <c r="D2235" s="14"/>
      <c r="E2235" s="155"/>
      <c r="F2235" s="10"/>
      <c r="G2235" s="17"/>
      <c r="H2235" s="10"/>
      <c r="I2235" s="17"/>
      <c r="J2235" s="82"/>
      <c r="K2235" s="340"/>
      <c r="L2235" s="344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80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>
      <c r="A2236" s="10" t="s">
        <v>254</v>
      </c>
      <c r="B2236" s="226" t="s">
        <v>1512</v>
      </c>
      <c r="C2236" s="10"/>
      <c r="D2236" s="14"/>
      <c r="E2236" s="155"/>
      <c r="F2236" s="10"/>
      <c r="G2236" s="17"/>
      <c r="H2236" s="10"/>
      <c r="I2236" s="17"/>
      <c r="J2236" s="82"/>
      <c r="K2236" s="340"/>
      <c r="L2236" s="344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160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>
      <c r="A2237" s="10" t="s">
        <v>254</v>
      </c>
      <c r="B2237" s="226" t="s">
        <v>1512</v>
      </c>
      <c r="C2237" s="10"/>
      <c r="D2237" s="14"/>
      <c r="E2237" s="155"/>
      <c r="F2237" s="10"/>
      <c r="G2237" s="17"/>
      <c r="H2237" s="10"/>
      <c r="I2237" s="17"/>
      <c r="J2237" s="82"/>
      <c r="K2237" s="340"/>
      <c r="L2237" s="344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>
      <c r="A2238" s="10" t="s">
        <v>254</v>
      </c>
      <c r="B2238" s="226" t="s">
        <v>1512</v>
      </c>
      <c r="C2238" s="10"/>
      <c r="D2238" s="14"/>
      <c r="E2238" s="155"/>
      <c r="F2238" s="10"/>
      <c r="G2238" s="17"/>
      <c r="H2238" s="10"/>
      <c r="I2238" s="17"/>
      <c r="J2238" s="82"/>
      <c r="K2238" s="340"/>
      <c r="L2238" s="344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>
      <c r="A2239" s="10" t="s">
        <v>254</v>
      </c>
      <c r="B2239" s="226" t="s">
        <v>1512</v>
      </c>
      <c r="C2239" s="10"/>
      <c r="D2239" s="14"/>
      <c r="E2239" s="155"/>
      <c r="F2239" s="10"/>
      <c r="G2239" s="17"/>
      <c r="H2239" s="10"/>
      <c r="I2239" s="17"/>
      <c r="J2239" s="82"/>
      <c r="K2239" s="340"/>
      <c r="L2239" s="344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>
      <c r="A2240" s="10" t="s">
        <v>254</v>
      </c>
      <c r="B2240" s="226" t="s">
        <v>1512</v>
      </c>
      <c r="C2240" s="10"/>
      <c r="D2240" s="14"/>
      <c r="E2240" s="155"/>
      <c r="F2240" s="10"/>
      <c r="G2240" s="17"/>
      <c r="H2240" s="10"/>
      <c r="I2240" s="17"/>
      <c r="J2240" s="82"/>
      <c r="K2240" s="340"/>
      <c r="L2240" s="344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4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>
      <c r="A2241" s="10" t="s">
        <v>254</v>
      </c>
      <c r="B2241" s="226" t="s">
        <v>1512</v>
      </c>
      <c r="C2241" s="10"/>
      <c r="D2241" s="14"/>
      <c r="E2241" s="155"/>
      <c r="F2241" s="10"/>
      <c r="G2241" s="17"/>
      <c r="H2241" s="10"/>
      <c r="I2241" s="17"/>
      <c r="J2241" s="82"/>
      <c r="K2241" s="340"/>
      <c r="L2241" s="344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16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>
      <c r="A2242" s="17" t="s">
        <v>254</v>
      </c>
      <c r="B2242" s="227" t="s">
        <v>1512</v>
      </c>
      <c r="C2242" s="17"/>
      <c r="D2242" s="18"/>
      <c r="E2242" s="235"/>
      <c r="F2242" s="17"/>
      <c r="G2242" s="17"/>
      <c r="H2242" s="10"/>
      <c r="I2242" s="17"/>
      <c r="J2242" s="82"/>
      <c r="K2242" s="340"/>
      <c r="L2242" s="344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8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>
      <c r="A2243" s="10" t="s">
        <v>254</v>
      </c>
      <c r="B2243" s="226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5" t="s">
        <v>396</v>
      </c>
      <c r="F2243" s="11"/>
      <c r="G2243" s="17"/>
      <c r="H2243" s="10"/>
      <c r="I2243" s="17"/>
      <c r="J2243" s="82"/>
      <c r="K2243" s="341">
        <v>0.521208</v>
      </c>
      <c r="L2243" s="344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32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>
      <c r="A2244" s="10" t="s">
        <v>254</v>
      </c>
      <c r="B2244" s="226" t="s">
        <v>1669</v>
      </c>
      <c r="C2244" s="10" t="s">
        <v>107</v>
      </c>
      <c r="D2244" s="14" t="str">
        <v>Black Aluminium Mesh 1.6mm</v>
      </c>
      <c r="E2244" s="155" t="s">
        <v>397</v>
      </c>
      <c r="F2244" s="11"/>
      <c r="G2244" s="17"/>
      <c r="H2244" s="10"/>
      <c r="I2244" s="17"/>
      <c r="J2244" s="82"/>
      <c r="K2244" s="340"/>
      <c r="L2244" s="344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80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>
      <c r="A2245" s="10" t="s">
        <v>254</v>
      </c>
      <c r="B2245" s="226" t="s">
        <v>1669</v>
      </c>
      <c r="C2245" s="10" t="s">
        <v>107</v>
      </c>
      <c r="D2245" s="14" t="str">
        <v>Black Aluminium Mesh 1.8mm</v>
      </c>
      <c r="E2245" s="155" t="s">
        <v>398</v>
      </c>
      <c r="F2245" s="10"/>
      <c r="G2245" s="17"/>
      <c r="H2245" s="10"/>
      <c r="I2245" s="17"/>
      <c r="J2245" s="82"/>
      <c r="K2245" s="340"/>
      <c r="L2245" s="344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>
      <c r="A2246" s="10" t="s">
        <v>254</v>
      </c>
      <c r="B2246" s="226" t="s">
        <v>1669</v>
      </c>
      <c r="C2246" s="10" t="s">
        <v>107</v>
      </c>
      <c r="D2246" s="14" t="str">
        <v>Black Stainless Steel Mesh 1.0mm</v>
      </c>
      <c r="E2246" s="155" t="s">
        <v>399</v>
      </c>
      <c r="F2246" s="10"/>
      <c r="G2246" s="17"/>
      <c r="H2246" s="10"/>
      <c r="I2246" s="17"/>
      <c r="J2246" s="82"/>
      <c r="K2246" s="340"/>
      <c r="L2246" s="344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24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>
      <c r="A2247" s="10" t="s">
        <v>254</v>
      </c>
      <c r="B2247" s="226" t="s">
        <v>1669</v>
      </c>
      <c r="C2247" s="10" t="s">
        <v>107</v>
      </c>
      <c r="D2247" s="14" t="str">
        <v/>
      </c>
      <c r="E2247" s="155"/>
      <c r="F2247" s="10"/>
      <c r="G2247" s="17"/>
      <c r="H2247" s="10"/>
      <c r="I2247" s="17"/>
      <c r="J2247" s="82"/>
      <c r="K2247" s="340"/>
      <c r="L2247" s="344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>
      <c r="A2248" s="10"/>
      <c r="B2248" s="226"/>
      <c r="C2248" s="10"/>
      <c r="D2248" s="14"/>
      <c r="E2248" s="155"/>
      <c r="F2248" s="10"/>
      <c r="G2248" s="17"/>
      <c r="H2248" s="10"/>
      <c r="I2248" s="17"/>
      <c r="J2248" s="82"/>
      <c r="K2248" s="340"/>
      <c r="L2248" s="344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>
      <c r="A2249" s="10"/>
      <c r="B2249" s="226"/>
      <c r="C2249" s="10"/>
      <c r="D2249" s="14"/>
      <c r="E2249" s="155"/>
      <c r="F2249" s="10"/>
      <c r="G2249" s="17"/>
      <c r="H2249" s="10"/>
      <c r="I2249" s="17"/>
      <c r="J2249" s="82"/>
      <c r="K2249" s="340"/>
      <c r="L2249" s="344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>
      <c r="A2250" s="10"/>
      <c r="B2250" s="226"/>
      <c r="C2250" s="10"/>
      <c r="D2250" s="14"/>
      <c r="E2250" s="155"/>
      <c r="F2250" s="10"/>
      <c r="G2250" s="17"/>
      <c r="H2250" s="10"/>
      <c r="I2250" s="17"/>
      <c r="J2250" s="82"/>
      <c r="K2250" s="340"/>
      <c r="L2250" s="344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>
      <c r="A2251" s="10" t="s">
        <v>254</v>
      </c>
      <c r="B2251" s="226" t="s">
        <v>1669</v>
      </c>
      <c r="C2251" s="10" t="s">
        <v>97</v>
      </c>
      <c r="D2251" s="14"/>
      <c r="E2251" s="155" t="s">
        <v>396</v>
      </c>
      <c r="F2251" s="10"/>
      <c r="G2251" s="17"/>
      <c r="H2251" s="10"/>
      <c r="I2251" s="17"/>
      <c r="J2251" s="82"/>
      <c r="K2251" s="341">
        <v>0.521208</v>
      </c>
      <c r="L2251" s="344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32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>
      <c r="A2252" s="10" t="s">
        <v>254</v>
      </c>
      <c r="B2252" s="226" t="s">
        <v>1669</v>
      </c>
      <c r="C2252" s="10" t="s">
        <v>97</v>
      </c>
      <c r="D2252" s="14"/>
      <c r="E2252" s="155" t="s">
        <v>397</v>
      </c>
      <c r="F2252" s="10"/>
      <c r="G2252" s="17"/>
      <c r="H2252" s="10"/>
      <c r="I2252" s="17"/>
      <c r="J2252" s="82"/>
      <c r="K2252" s="340"/>
      <c r="L2252" s="344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80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>
      <c r="A2253" s="10" t="s">
        <v>254</v>
      </c>
      <c r="B2253" s="226" t="s">
        <v>1669</v>
      </c>
      <c r="C2253" s="10" t="s">
        <v>97</v>
      </c>
      <c r="D2253" s="14"/>
      <c r="E2253" s="155" t="s">
        <v>398</v>
      </c>
      <c r="F2253" s="10"/>
      <c r="G2253" s="17"/>
      <c r="H2253" s="10"/>
      <c r="I2253" s="17"/>
      <c r="J2253" s="82"/>
      <c r="K2253" s="340"/>
      <c r="L2253" s="344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>
      <c r="A2254" s="10" t="s">
        <v>254</v>
      </c>
      <c r="B2254" s="226" t="s">
        <v>1669</v>
      </c>
      <c r="C2254" s="10" t="s">
        <v>97</v>
      </c>
      <c r="D2254" s="14"/>
      <c r="E2254" s="155" t="s">
        <v>399</v>
      </c>
      <c r="F2254" s="10"/>
      <c r="G2254" s="17"/>
      <c r="H2254" s="10"/>
      <c r="I2254" s="17"/>
      <c r="J2254" s="82"/>
      <c r="K2254" s="340"/>
      <c r="L2254" s="344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24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>
      <c r="A2255" s="10" t="s">
        <v>254</v>
      </c>
      <c r="B2255" s="226" t="s">
        <v>1669</v>
      </c>
      <c r="C2255" s="10" t="s">
        <v>97</v>
      </c>
      <c r="D2255" s="14"/>
      <c r="E2255" s="155"/>
      <c r="F2255" s="10"/>
      <c r="G2255" s="17"/>
      <c r="H2255" s="10"/>
      <c r="I2255" s="17"/>
      <c r="J2255" s="82"/>
      <c r="K2255" s="340"/>
      <c r="L2255" s="344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>
      <c r="A2256" s="10" t="s">
        <v>254</v>
      </c>
      <c r="B2256" s="226" t="s">
        <v>1669</v>
      </c>
      <c r="C2256" s="10"/>
      <c r="D2256" s="14"/>
      <c r="E2256" s="155"/>
      <c r="F2256" s="10"/>
      <c r="G2256" s="17"/>
      <c r="H2256" s="10"/>
      <c r="I2256" s="17"/>
      <c r="J2256" s="82"/>
      <c r="K2256" s="340"/>
      <c r="L2256" s="344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>
      <c r="A2257" s="10" t="s">
        <v>254</v>
      </c>
      <c r="B2257" s="226" t="s">
        <v>1669</v>
      </c>
      <c r="C2257" s="10"/>
      <c r="D2257" s="14"/>
      <c r="E2257" s="155"/>
      <c r="F2257" s="10"/>
      <c r="G2257" s="17"/>
      <c r="H2257" s="10"/>
      <c r="I2257" s="17"/>
      <c r="J2257" s="82"/>
      <c r="K2257" s="340"/>
      <c r="L2257" s="344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>
      <c r="A2258" s="10" t="s">
        <v>254</v>
      </c>
      <c r="B2258" s="226" t="s">
        <v>1669</v>
      </c>
      <c r="C2258" s="10"/>
      <c r="D2258" s="14"/>
      <c r="E2258" s="155"/>
      <c r="F2258" s="10"/>
      <c r="G2258" s="17"/>
      <c r="H2258" s="10"/>
      <c r="I2258" s="17"/>
      <c r="J2258" s="82"/>
      <c r="K2258" s="340"/>
      <c r="L2258" s="344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>
      <c r="A2259" s="10" t="s">
        <v>254</v>
      </c>
      <c r="B2259" s="226" t="s">
        <v>1669</v>
      </c>
      <c r="C2259" s="10"/>
      <c r="D2259" s="14"/>
      <c r="E2259" s="155"/>
      <c r="F2259" s="10"/>
      <c r="G2259" s="17"/>
      <c r="H2259" s="10"/>
      <c r="I2259" s="17"/>
      <c r="J2259" s="82"/>
      <c r="K2259" s="340"/>
      <c r="L2259" s="344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>
      <c r="A2260" s="10" t="s">
        <v>254</v>
      </c>
      <c r="B2260" s="226" t="s">
        <v>1669</v>
      </c>
      <c r="C2260" s="10"/>
      <c r="D2260" s="14"/>
      <c r="E2260" s="155"/>
      <c r="F2260" s="10"/>
      <c r="G2260" s="17"/>
      <c r="H2260" s="10"/>
      <c r="I2260" s="17"/>
      <c r="J2260" s="82"/>
      <c r="K2260" s="340"/>
      <c r="L2260" s="344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>
      <c r="A2261" s="10" t="s">
        <v>254</v>
      </c>
      <c r="B2261" s="226" t="s">
        <v>1669</v>
      </c>
      <c r="C2261" s="10"/>
      <c r="D2261" s="14"/>
      <c r="E2261" s="155"/>
      <c r="F2261" s="10"/>
      <c r="G2261" s="17"/>
      <c r="H2261" s="10"/>
      <c r="I2261" s="17"/>
      <c r="J2261" s="82"/>
      <c r="K2261" s="340"/>
      <c r="L2261" s="344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>
      <c r="A2262" s="10" t="s">
        <v>254</v>
      </c>
      <c r="B2262" s="226" t="s">
        <v>1669</v>
      </c>
      <c r="C2262" s="10"/>
      <c r="D2262" s="14"/>
      <c r="E2262" s="155"/>
      <c r="F2262" s="10"/>
      <c r="G2262" s="17"/>
      <c r="H2262" s="10"/>
      <c r="I2262" s="17"/>
      <c r="J2262" s="82"/>
      <c r="K2262" s="340"/>
      <c r="L2262" s="344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>
      <c r="A2263" s="10" t="s">
        <v>254</v>
      </c>
      <c r="B2263" s="226" t="s">
        <v>1669</v>
      </c>
      <c r="C2263" s="10"/>
      <c r="D2263" s="14"/>
      <c r="E2263" s="155"/>
      <c r="F2263" s="10"/>
      <c r="G2263" s="17"/>
      <c r="H2263" s="10"/>
      <c r="I2263" s="17"/>
      <c r="J2263" s="82"/>
      <c r="K2263" s="340"/>
      <c r="L2263" s="344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>
      <c r="A2264" s="10" t="s">
        <v>254</v>
      </c>
      <c r="B2264" s="226" t="s">
        <v>1669</v>
      </c>
      <c r="C2264" s="10"/>
      <c r="D2264" s="14"/>
      <c r="E2264" s="155"/>
      <c r="F2264" s="10"/>
      <c r="G2264" s="17"/>
      <c r="H2264" s="10"/>
      <c r="I2264" s="17"/>
      <c r="J2264" s="82"/>
      <c r="K2264" s="340"/>
      <c r="L2264" s="344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>
      <c r="A2265" s="10" t="s">
        <v>254</v>
      </c>
      <c r="B2265" s="226" t="s">
        <v>1669</v>
      </c>
      <c r="C2265" s="10"/>
      <c r="D2265" s="14"/>
      <c r="E2265" s="155"/>
      <c r="F2265" s="10"/>
      <c r="G2265" s="17"/>
      <c r="H2265" s="10"/>
      <c r="I2265" s="17"/>
      <c r="J2265" s="82"/>
      <c r="K2265" s="340"/>
      <c r="L2265" s="344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>
      <c r="A2266" s="10" t="s">
        <v>254</v>
      </c>
      <c r="B2266" s="226" t="s">
        <v>1669</v>
      </c>
      <c r="C2266" s="10"/>
      <c r="D2266" s="14"/>
      <c r="E2266" s="155"/>
      <c r="F2266" s="10"/>
      <c r="G2266" s="17"/>
      <c r="H2266" s="10"/>
      <c r="I2266" s="17"/>
      <c r="J2266" s="82"/>
      <c r="K2266" s="340"/>
      <c r="L2266" s="344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>
      <c r="A2267" s="10" t="s">
        <v>254</v>
      </c>
      <c r="B2267" s="226" t="s">
        <v>1669</v>
      </c>
      <c r="C2267" s="10"/>
      <c r="D2267" s="14"/>
      <c r="E2267" s="155"/>
      <c r="F2267" s="10"/>
      <c r="G2267" s="17"/>
      <c r="H2267" s="10"/>
      <c r="I2267" s="17"/>
      <c r="J2267" s="82"/>
      <c r="K2267" s="340"/>
      <c r="L2267" s="344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>
      <c r="A2268" s="10" t="s">
        <v>254</v>
      </c>
      <c r="B2268" s="226" t="s">
        <v>1669</v>
      </c>
      <c r="C2268" s="10"/>
      <c r="D2268" s="14"/>
      <c r="E2268" s="155"/>
      <c r="F2268" s="10"/>
      <c r="G2268" s="17"/>
      <c r="H2268" s="10"/>
      <c r="I2268" s="17"/>
      <c r="J2268" s="82"/>
      <c r="K2268" s="340"/>
      <c r="L2268" s="344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>
      <c r="A2269" s="10" t="s">
        <v>254</v>
      </c>
      <c r="B2269" s="226" t="s">
        <v>1669</v>
      </c>
      <c r="C2269" s="10"/>
      <c r="D2269" s="14"/>
      <c r="E2269" s="155"/>
      <c r="F2269" s="10"/>
      <c r="G2269" s="17"/>
      <c r="H2269" s="10"/>
      <c r="I2269" s="17"/>
      <c r="J2269" s="82"/>
      <c r="K2269" s="340"/>
      <c r="L2269" s="344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>
      <c r="A2270" s="10" t="s">
        <v>254</v>
      </c>
      <c r="B2270" s="226" t="s">
        <v>1669</v>
      </c>
      <c r="C2270" s="10"/>
      <c r="D2270" s="14"/>
      <c r="E2270" s="155"/>
      <c r="F2270" s="10"/>
      <c r="G2270" s="17"/>
      <c r="H2270" s="10"/>
      <c r="I2270" s="17"/>
      <c r="J2270" s="82"/>
      <c r="K2270" s="340"/>
      <c r="L2270" s="344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>
      <c r="A2271" s="10" t="s">
        <v>254</v>
      </c>
      <c r="B2271" s="226" t="s">
        <v>1669</v>
      </c>
      <c r="C2271" s="10"/>
      <c r="D2271" s="14"/>
      <c r="E2271" s="155"/>
      <c r="F2271" s="10"/>
      <c r="G2271" s="17"/>
      <c r="H2271" s="10"/>
      <c r="I2271" s="17"/>
      <c r="J2271" s="82"/>
      <c r="K2271" s="340"/>
      <c r="L2271" s="344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>
      <c r="A2272" s="10" t="s">
        <v>254</v>
      </c>
      <c r="B2272" s="226" t="s">
        <v>1669</v>
      </c>
      <c r="C2272" s="10"/>
      <c r="D2272" s="14"/>
      <c r="E2272" s="155"/>
      <c r="F2272" s="10"/>
      <c r="G2272" s="17"/>
      <c r="H2272" s="10"/>
      <c r="I2272" s="17"/>
      <c r="J2272" s="82"/>
      <c r="K2272" s="340"/>
      <c r="L2272" s="344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P/C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>
      <c r="A2273" s="10" t="s">
        <v>254</v>
      </c>
      <c r="B2273" s="226" t="s">
        <v>1669</v>
      </c>
      <c r="C2273" s="10"/>
      <c r="D2273" s="14"/>
      <c r="E2273" s="155"/>
      <c r="F2273" s="10"/>
      <c r="G2273" s="17"/>
      <c r="H2273" s="10"/>
      <c r="I2273" s="17"/>
      <c r="J2273" s="82"/>
      <c r="K2273" s="340"/>
      <c r="L2273" s="344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80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>
      <c r="A2274" s="10" t="s">
        <v>254</v>
      </c>
      <c r="B2274" s="226" t="s">
        <v>1669</v>
      </c>
      <c r="C2274" s="10"/>
      <c r="D2274" s="14"/>
      <c r="E2274" s="155"/>
      <c r="F2274" s="10"/>
      <c r="G2274" s="17"/>
      <c r="H2274" s="10"/>
      <c r="I2274" s="17"/>
      <c r="J2274" s="82"/>
      <c r="K2274" s="340"/>
      <c r="L2274" s="344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224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>
      <c r="A2275" s="10" t="s">
        <v>254</v>
      </c>
      <c r="B2275" s="226" t="s">
        <v>1669</v>
      </c>
      <c r="C2275" s="10"/>
      <c r="D2275" s="14"/>
      <c r="E2275" s="155"/>
      <c r="F2275" s="10"/>
      <c r="G2275" s="17"/>
      <c r="H2275" s="10"/>
      <c r="I2275" s="17"/>
      <c r="J2275" s="82"/>
      <c r="K2275" s="340"/>
      <c r="L2275" s="344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6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>
      <c r="A2276" s="10" t="s">
        <v>254</v>
      </c>
      <c r="B2276" s="226" t="s">
        <v>1669</v>
      </c>
      <c r="C2276" s="10"/>
      <c r="D2276" s="14"/>
      <c r="E2276" s="155"/>
      <c r="F2276" s="10"/>
      <c r="G2276" s="17"/>
      <c r="H2276" s="10"/>
      <c r="I2276" s="17"/>
      <c r="J2276" s="82"/>
      <c r="K2276" s="340"/>
      <c r="L2276" s="344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>
      <c r="A2277" s="10" t="s">
        <v>254</v>
      </c>
      <c r="B2277" s="226" t="s">
        <v>1669</v>
      </c>
      <c r="C2277" s="10"/>
      <c r="D2277" s="14"/>
      <c r="E2277" s="155"/>
      <c r="F2277" s="10"/>
      <c r="G2277" s="17"/>
      <c r="H2277" s="10"/>
      <c r="I2277" s="17"/>
      <c r="J2277" s="82"/>
      <c r="K2277" s="340"/>
      <c r="L2277" s="344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>
      <c r="A2278" s="10" t="s">
        <v>254</v>
      </c>
      <c r="B2278" s="226" t="s">
        <v>1669</v>
      </c>
      <c r="C2278" s="10"/>
      <c r="D2278" s="14"/>
      <c r="E2278" s="155"/>
      <c r="F2278" s="10"/>
      <c r="G2278" s="17"/>
      <c r="H2278" s="10"/>
      <c r="I2278" s="17"/>
      <c r="J2278" s="82"/>
      <c r="K2278" s="340"/>
      <c r="L2278" s="344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>
      <c r="A2279" s="10" t="s">
        <v>254</v>
      </c>
      <c r="B2279" s="226" t="s">
        <v>1669</v>
      </c>
      <c r="C2279" s="10"/>
      <c r="D2279" s="14"/>
      <c r="E2279" s="155"/>
      <c r="F2279" s="10"/>
      <c r="G2279" s="17"/>
      <c r="H2279" s="10"/>
      <c r="I2279" s="17"/>
      <c r="J2279" s="82"/>
      <c r="K2279" s="340"/>
      <c r="L2279" s="344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>
      <c r="A2280" s="10" t="s">
        <v>254</v>
      </c>
      <c r="B2280" s="226" t="s">
        <v>1669</v>
      </c>
      <c r="C2280" s="10"/>
      <c r="D2280" s="14"/>
      <c r="E2280" s="155"/>
      <c r="F2280" s="10"/>
      <c r="G2280" s="17"/>
      <c r="H2280" s="10"/>
      <c r="I2280" s="17"/>
      <c r="J2280" s="82"/>
      <c r="K2280" s="340"/>
      <c r="L2280" s="344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>
      <c r="A2281" s="10" t="s">
        <v>254</v>
      </c>
      <c r="B2281" s="226" t="s">
        <v>1669</v>
      </c>
      <c r="C2281" s="10"/>
      <c r="D2281" s="14"/>
      <c r="E2281" s="155"/>
      <c r="F2281" s="10"/>
      <c r="G2281" s="17"/>
      <c r="H2281" s="10"/>
      <c r="I2281" s="17"/>
      <c r="J2281" s="82"/>
      <c r="K2281" s="340"/>
      <c r="L2281" s="344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>
      <c r="A2282" s="10" t="s">
        <v>254</v>
      </c>
      <c r="B2282" s="226" t="s">
        <v>1669</v>
      </c>
      <c r="C2282" s="10"/>
      <c r="D2282" s="14"/>
      <c r="E2282" s="155"/>
      <c r="F2282" s="10"/>
      <c r="G2282" s="17"/>
      <c r="H2282" s="10"/>
      <c r="I2282" s="17"/>
      <c r="J2282" s="82"/>
      <c r="K2282" s="340"/>
      <c r="L2282" s="344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>
      <c r="A2283" s="10" t="s">
        <v>254</v>
      </c>
      <c r="B2283" s="226" t="s">
        <v>1669</v>
      </c>
      <c r="C2283" s="10"/>
      <c r="D2283" s="14"/>
      <c r="E2283" s="155"/>
      <c r="F2283" s="10"/>
      <c r="G2283" s="17"/>
      <c r="H2283" s="10"/>
      <c r="I2283" s="17"/>
      <c r="J2283" s="82"/>
      <c r="K2283" s="340"/>
      <c r="L2283" s="344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>
      <c r="A2284" s="10" t="s">
        <v>254</v>
      </c>
      <c r="B2284" s="226" t="s">
        <v>1669</v>
      </c>
      <c r="C2284" s="10"/>
      <c r="D2284" s="14"/>
      <c r="E2284" s="155"/>
      <c r="F2284" s="10"/>
      <c r="G2284" s="17"/>
      <c r="H2284" s="10"/>
      <c r="I2284" s="17"/>
      <c r="J2284" s="82"/>
      <c r="K2284" s="340"/>
      <c r="L2284" s="344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>
      <c r="A2285" s="10" t="s">
        <v>254</v>
      </c>
      <c r="B2285" s="226" t="s">
        <v>1669</v>
      </c>
      <c r="C2285" s="10"/>
      <c r="D2285" s="14"/>
      <c r="E2285" s="155"/>
      <c r="F2285" s="10"/>
      <c r="G2285" s="17"/>
      <c r="H2285" s="10"/>
      <c r="I2285" s="17"/>
      <c r="J2285" s="82"/>
      <c r="K2285" s="340"/>
      <c r="L2285" s="344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>
      <c r="A2286" s="10" t="s">
        <v>254</v>
      </c>
      <c r="B2286" s="226" t="s">
        <v>1669</v>
      </c>
      <c r="C2286" s="10"/>
      <c r="D2286" s="14"/>
      <c r="E2286" s="155"/>
      <c r="F2286" s="10"/>
      <c r="G2286" s="17"/>
      <c r="H2286" s="10"/>
      <c r="I2286" s="17"/>
      <c r="J2286" s="82"/>
      <c r="K2286" s="340"/>
      <c r="L2286" s="344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>
      <c r="A2287" s="10" t="s">
        <v>254</v>
      </c>
      <c r="B2287" s="226" t="s">
        <v>1669</v>
      </c>
      <c r="C2287" s="10"/>
      <c r="D2287" s="14"/>
      <c r="E2287" s="155"/>
      <c r="F2287" s="10"/>
      <c r="G2287" s="17"/>
      <c r="H2287" s="10"/>
      <c r="I2287" s="17"/>
      <c r="J2287" s="82"/>
      <c r="K2287" s="340"/>
      <c r="L2287" s="344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>
      <c r="A2288" s="10" t="s">
        <v>254</v>
      </c>
      <c r="B2288" s="226" t="s">
        <v>1669</v>
      </c>
      <c r="C2288" s="10"/>
      <c r="D2288" s="14"/>
      <c r="E2288" s="155"/>
      <c r="F2288" s="10"/>
      <c r="G2288" s="17"/>
      <c r="H2288" s="10"/>
      <c r="I2288" s="17"/>
      <c r="J2288" s="82"/>
      <c r="K2288" s="340"/>
      <c r="L2288" s="344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>
      <c r="A2289" s="10" t="s">
        <v>254</v>
      </c>
      <c r="B2289" s="226" t="s">
        <v>1669</v>
      </c>
      <c r="C2289" s="10"/>
      <c r="D2289" s="14"/>
      <c r="E2289" s="155"/>
      <c r="F2289" s="10"/>
      <c r="G2289" s="17"/>
      <c r="H2289" s="10"/>
      <c r="I2289" s="17"/>
      <c r="J2289" s="82"/>
      <c r="K2289" s="340"/>
      <c r="L2289" s="344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>
      <c r="A2290" s="10" t="s">
        <v>254</v>
      </c>
      <c r="B2290" s="226" t="s">
        <v>1669</v>
      </c>
      <c r="C2290" s="10"/>
      <c r="D2290" s="14"/>
      <c r="E2290" s="155"/>
      <c r="F2290" s="10"/>
      <c r="G2290" s="17"/>
      <c r="H2290" s="10"/>
      <c r="I2290" s="17"/>
      <c r="J2290" s="82"/>
      <c r="K2290" s="340"/>
      <c r="L2290" s="344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>
      <c r="A2291" s="17" t="s">
        <v>254</v>
      </c>
      <c r="B2291" s="337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0"/>
      <c r="L2291" s="344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>
      <c r="A2292" s="10" t="s">
        <v>761</v>
      </c>
      <c r="B2292" s="338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7" t="s">
        <v>1687</v>
      </c>
      <c r="H2292" s="10"/>
      <c r="I2292" s="17"/>
      <c r="J2292" s="82"/>
      <c r="K2292" s="341">
        <v>0.165217</v>
      </c>
      <c r="L2292" s="344">
        <v>1219.2</v>
      </c>
      <c r="M2292" s="12"/>
      <c r="N2292" s="10" t="s">
        <v>176</v>
      </c>
      <c r="O2292" s="22">
        <v>1300</v>
      </c>
      <c r="P2292" s="107" t="str">
        <f>Enginuity!$A$18</f>
        <v>Folding Door Exposed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>
      <c r="A2293" s="10" t="s">
        <v>761</v>
      </c>
      <c r="B2293" s="338" t="s">
        <v>324</v>
      </c>
      <c r="C2293" s="10" t="s">
        <v>1688</v>
      </c>
      <c r="D2293" s="111" t="str">
        <v>5mm Normal Glass</v>
      </c>
      <c r="E2293" s="111"/>
      <c r="F2293" s="111"/>
      <c r="G2293" s="167"/>
      <c r="H2293" s="10"/>
      <c r="I2293" s="23"/>
      <c r="J2293" s="10"/>
      <c r="K2293" s="341"/>
      <c r="L2293" s="344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>
      <c r="A2294" s="10" t="s">
        <v>761</v>
      </c>
      <c r="B2294" s="338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0"/>
      <c r="L2294" s="344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P/C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>
      <c r="A2295" s="10" t="s">
        <v>761</v>
      </c>
      <c r="B2295" s="338" t="s">
        <v>324</v>
      </c>
      <c r="C2295" s="10" t="s">
        <v>1688</v>
      </c>
      <c r="D2295" s="111" t="str">
        <v>5mm clear Tempered Glass</v>
      </c>
      <c r="E2295" s="14"/>
      <c r="F2295" s="14"/>
      <c r="G2295" s="140"/>
      <c r="H2295" s="10"/>
      <c r="I2295" s="17"/>
      <c r="J2295" s="82"/>
      <c r="K2295" s="340"/>
      <c r="L2295" s="344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>
      <c r="A2296" s="10" t="s">
        <v>761</v>
      </c>
      <c r="B2296" s="338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0"/>
      <c r="L2296" s="344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Breezway 102mm Glass Infill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>
      <c r="A2297" s="10" t="s">
        <v>761</v>
      </c>
      <c r="B2297" s="338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0"/>
      <c r="L2297" s="344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>
      <c r="A2298" s="10" t="s">
        <v>761</v>
      </c>
      <c r="B2298" s="338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0"/>
      <c r="L2298" s="344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32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>
      <c r="A2299" s="10" t="s">
        <v>761</v>
      </c>
      <c r="B2299" s="338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0"/>
      <c r="L2299" s="344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>
      <c r="A2300" s="10"/>
      <c r="B2300" s="338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0"/>
      <c r="L2300" s="344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>
      <c r="A2301" s="10"/>
      <c r="B2301" s="338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0"/>
      <c r="L2301" s="344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>
      <c r="A2302" s="10"/>
      <c r="B2302" s="338"/>
      <c r="C2302" s="10"/>
      <c r="D2302" s="14"/>
      <c r="E2302" s="14"/>
      <c r="F2302" s="10"/>
      <c r="G2302" s="17"/>
      <c r="H2302" s="10"/>
      <c r="I2302" s="17"/>
      <c r="J2302" s="82"/>
      <c r="K2302" s="340"/>
      <c r="L2302" s="344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>
      <c r="A2303" s="10"/>
      <c r="B2303" s="338"/>
      <c r="C2303" s="10"/>
      <c r="D2303" s="14"/>
      <c r="E2303" s="14"/>
      <c r="F2303" s="10"/>
      <c r="G2303" s="17"/>
      <c r="H2303" s="10"/>
      <c r="I2303" s="17"/>
      <c r="J2303" s="82"/>
      <c r="K2303" s="340"/>
      <c r="L2303" s="344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>
      <c r="A2304" s="10"/>
      <c r="B2304" s="338"/>
      <c r="C2304" s="10"/>
      <c r="D2304" s="14"/>
      <c r="E2304" s="14"/>
      <c r="F2304" s="10"/>
      <c r="G2304" s="17"/>
      <c r="H2304" s="10"/>
      <c r="I2304" s="17"/>
      <c r="J2304" s="82"/>
      <c r="K2304" s="340"/>
      <c r="L2304" s="344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>
      <c r="A2305" s="10"/>
      <c r="B2305" s="338"/>
      <c r="C2305" s="10"/>
      <c r="D2305" s="14"/>
      <c r="E2305" s="14"/>
      <c r="F2305" s="10"/>
      <c r="G2305" s="17"/>
      <c r="H2305" s="10"/>
      <c r="I2305" s="17"/>
      <c r="J2305" s="82"/>
      <c r="K2305" s="340"/>
      <c r="L2305" s="344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>
      <c r="A2306" s="17"/>
      <c r="B2306" s="337"/>
      <c r="C2306" s="17"/>
      <c r="D2306" s="18"/>
      <c r="E2306" s="18"/>
      <c r="F2306" s="17"/>
      <c r="G2306" s="17"/>
      <c r="H2306" s="17"/>
      <c r="I2306" s="17"/>
      <c r="J2306" s="83"/>
      <c r="K2306" s="340"/>
      <c r="L2306" s="344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>
      <c r="A2307" s="10" t="s">
        <v>761</v>
      </c>
      <c r="B2307" s="226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6" t="s">
        <v>762</v>
      </c>
      <c r="F2307" s="14"/>
      <c r="G2307" s="167" t="s">
        <v>1687</v>
      </c>
      <c r="H2307" s="10"/>
      <c r="I2307" s="17"/>
      <c r="J2307" s="82"/>
      <c r="K2307" s="341">
        <v>0.21724099999999999</v>
      </c>
      <c r="L2307" s="344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Folding Door Exposed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>
      <c r="A2308" s="10" t="s">
        <v>761</v>
      </c>
      <c r="B2308" s="226" t="s">
        <v>324</v>
      </c>
      <c r="C2308" s="111" t="s">
        <v>1689</v>
      </c>
      <c r="D2308" s="111" t="str">
        <v>5mm Normal Glass</v>
      </c>
      <c r="E2308" s="158"/>
      <c r="F2308" s="14"/>
      <c r="G2308" s="17"/>
      <c r="H2308" s="10"/>
      <c r="I2308" s="17"/>
      <c r="J2308" s="82"/>
      <c r="K2308" s="340"/>
      <c r="L2308" s="344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P/C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>
      <c r="A2309" s="10" t="s">
        <v>761</v>
      </c>
      <c r="B2309" s="226" t="s">
        <v>324</v>
      </c>
      <c r="C2309" s="111" t="s">
        <v>1689</v>
      </c>
      <c r="D2309" s="111" t="str">
        <v>5mm Dark Grey Glass</v>
      </c>
      <c r="E2309" s="244"/>
      <c r="F2309" s="10"/>
      <c r="G2309" s="17"/>
      <c r="H2309" s="10"/>
      <c r="I2309" s="17"/>
      <c r="J2309" s="82"/>
      <c r="K2309" s="340"/>
      <c r="L2309" s="344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>
      <c r="A2310" s="10" t="s">
        <v>761</v>
      </c>
      <c r="B2310" s="226" t="s">
        <v>324</v>
      </c>
      <c r="C2310" s="111" t="s">
        <v>1689</v>
      </c>
      <c r="D2310" s="111" t="str">
        <v>5mm clear Tempered Glass</v>
      </c>
      <c r="E2310" s="155"/>
      <c r="F2310" s="14"/>
      <c r="G2310" s="140"/>
      <c r="H2310" s="10"/>
      <c r="I2310" s="17"/>
      <c r="J2310" s="82"/>
      <c r="K2310" s="340"/>
      <c r="L2310" s="344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32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>
      <c r="A2311" s="10" t="s">
        <v>761</v>
      </c>
      <c r="B2311" s="226" t="s">
        <v>324</v>
      </c>
      <c r="C2311" s="111" t="s">
        <v>1689</v>
      </c>
      <c r="D2311" s="85" t="str">
        <v>5mm Dark Grey Tempered Glass</v>
      </c>
      <c r="E2311" s="155" t="s">
        <v>762</v>
      </c>
      <c r="F2311" s="14"/>
      <c r="G2311" s="18"/>
      <c r="H2311" s="10"/>
      <c r="I2311" s="17"/>
      <c r="J2311" s="82"/>
      <c r="K2311" s="340"/>
      <c r="L2311" s="344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>
      <c r="A2312" s="10" t="s">
        <v>761</v>
      </c>
      <c r="B2312" s="226" t="s">
        <v>324</v>
      </c>
      <c r="C2312" s="111" t="s">
        <v>1689</v>
      </c>
      <c r="D2312" s="85" t="str">
        <v>5mm normal Moru</v>
      </c>
      <c r="E2312" s="155"/>
      <c r="F2312" s="14"/>
      <c r="G2312" s="17"/>
      <c r="H2312" s="10"/>
      <c r="I2312" s="17"/>
      <c r="J2312" s="82"/>
      <c r="K2312" s="340"/>
      <c r="L2312" s="344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>
      <c r="A2313" s="10" t="s">
        <v>761</v>
      </c>
      <c r="B2313" s="226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0"/>
      <c r="L2313" s="344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>
      <c r="A2314" s="10" t="s">
        <v>761</v>
      </c>
      <c r="B2314" s="226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0"/>
      <c r="L2314" s="344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>
      <c r="A2315" s="10"/>
      <c r="B2315" s="338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0"/>
      <c r="L2315" s="344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>
      <c r="A2316" s="10"/>
      <c r="B2316" s="338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0"/>
      <c r="L2316" s="344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>
      <c r="A2317" s="10"/>
      <c r="B2317" s="338"/>
      <c r="C2317" s="10"/>
      <c r="D2317" s="14"/>
      <c r="E2317" s="14"/>
      <c r="F2317" s="10"/>
      <c r="G2317" s="17"/>
      <c r="H2317" s="10"/>
      <c r="I2317" s="17"/>
      <c r="J2317" s="82"/>
      <c r="K2317" s="340"/>
      <c r="L2317" s="344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>
      <c r="A2318" s="10"/>
      <c r="B2318" s="338"/>
      <c r="C2318" s="10"/>
      <c r="D2318" s="14"/>
      <c r="E2318" s="14"/>
      <c r="F2318" s="10"/>
      <c r="G2318" s="17"/>
      <c r="H2318" s="10"/>
      <c r="I2318" s="17"/>
      <c r="J2318" s="82"/>
      <c r="K2318" s="340"/>
      <c r="L2318" s="344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>
      <c r="A2319" s="10"/>
      <c r="B2319" s="338"/>
      <c r="C2319" s="10"/>
      <c r="D2319" s="14"/>
      <c r="E2319" s="14"/>
      <c r="F2319" s="10"/>
      <c r="G2319" s="17"/>
      <c r="H2319" s="10"/>
      <c r="I2319" s="17"/>
      <c r="J2319" s="82"/>
      <c r="K2319" s="340"/>
      <c r="L2319" s="344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>
      <c r="A2320" s="10"/>
      <c r="B2320" s="338"/>
      <c r="C2320" s="10"/>
      <c r="D2320" s="14"/>
      <c r="E2320" s="14"/>
      <c r="F2320" s="10"/>
      <c r="G2320" s="17"/>
      <c r="H2320" s="10"/>
      <c r="I2320" s="17"/>
      <c r="J2320" s="82"/>
      <c r="K2320" s="340"/>
      <c r="L2320" s="344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>
      <c r="A2321" s="17"/>
      <c r="B2321" s="337"/>
      <c r="C2321" s="17"/>
      <c r="D2321" s="18"/>
      <c r="E2321" s="18"/>
      <c r="F2321" s="17"/>
      <c r="G2321" s="17"/>
      <c r="H2321" s="17"/>
      <c r="I2321" s="17"/>
      <c r="J2321" s="83"/>
      <c r="K2321" s="340"/>
      <c r="L2321" s="344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>
      <c r="A2322" s="10" t="s">
        <v>761</v>
      </c>
      <c r="B2322" s="226" t="s">
        <v>764</v>
      </c>
      <c r="C2322" s="10" t="s">
        <v>766</v>
      </c>
      <c r="D2322" s="85" t="s">
        <v>767</v>
      </c>
      <c r="E2322" s="155"/>
      <c r="F2322" s="21"/>
      <c r="G2322" s="17"/>
      <c r="H2322" s="10"/>
      <c r="I2322" s="17"/>
      <c r="J2322" s="82"/>
      <c r="K2322" s="341">
        <v>0.3</v>
      </c>
      <c r="L2322" s="344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>
      <c r="A2323" s="10" t="s">
        <v>761</v>
      </c>
      <c r="B2323" s="226" t="s">
        <v>764</v>
      </c>
      <c r="C2323" s="10" t="s">
        <v>765</v>
      </c>
      <c r="D2323" s="85"/>
      <c r="E2323" s="155"/>
      <c r="F2323" s="14"/>
      <c r="G2323" s="17"/>
      <c r="H2323" s="10"/>
      <c r="I2323" s="17"/>
      <c r="J2323" s="82"/>
      <c r="K2323" s="340"/>
      <c r="L2323" s="344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>
      <c r="A2324" s="10" t="s">
        <v>761</v>
      </c>
      <c r="B2324" s="226" t="s">
        <v>764</v>
      </c>
      <c r="C2324" s="10"/>
      <c r="D2324" s="85"/>
      <c r="E2324" s="158"/>
      <c r="F2324" s="14"/>
      <c r="G2324" s="17"/>
      <c r="H2324" s="10"/>
      <c r="I2324" s="17"/>
      <c r="J2324" s="82"/>
      <c r="K2324" s="340"/>
      <c r="L2324" s="344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>
      <c r="A2325" s="10" t="s">
        <v>761</v>
      </c>
      <c r="B2325" s="226"/>
      <c r="C2325" s="10"/>
      <c r="D2325" s="85"/>
      <c r="E2325" s="158"/>
      <c r="F2325" s="36"/>
      <c r="G2325" s="17"/>
      <c r="H2325" s="10"/>
      <c r="I2325" s="17"/>
      <c r="J2325" s="82"/>
      <c r="K2325" s="340"/>
      <c r="L2325" s="344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>
      <c r="A2326" s="10"/>
      <c r="B2326" s="226"/>
      <c r="C2326" s="111"/>
      <c r="D2326" s="85"/>
      <c r="E2326" s="336"/>
      <c r="F2326" s="14"/>
      <c r="G2326" s="17"/>
      <c r="H2326" s="10"/>
      <c r="I2326" s="17"/>
      <c r="J2326" s="82"/>
      <c r="K2326" s="341"/>
      <c r="L2326" s="344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>
      <c r="A2327" s="10"/>
      <c r="B2327" s="226"/>
      <c r="C2327" s="10"/>
      <c r="D2327" s="85"/>
      <c r="E2327" s="155"/>
      <c r="F2327" s="14"/>
      <c r="G2327" s="17"/>
      <c r="H2327" s="10"/>
      <c r="I2327" s="17"/>
      <c r="J2327" s="82"/>
      <c r="K2327" s="340"/>
      <c r="L2327" s="344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>
      <c r="A2328" s="10"/>
      <c r="B2328" s="338"/>
      <c r="C2328" s="10"/>
      <c r="D2328" s="85"/>
      <c r="E2328" s="14"/>
      <c r="F2328" s="21"/>
      <c r="G2328" s="17"/>
      <c r="H2328" s="10"/>
      <c r="I2328" s="17"/>
      <c r="J2328" s="82"/>
      <c r="K2328" s="340"/>
      <c r="L2328" s="344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>
      <c r="A2329" s="10"/>
      <c r="B2329" s="338"/>
      <c r="C2329" s="10"/>
      <c r="D2329" s="85"/>
      <c r="E2329" s="14"/>
      <c r="F2329" s="21"/>
      <c r="G2329" s="17"/>
      <c r="H2329" s="10"/>
      <c r="I2329" s="17"/>
      <c r="J2329" s="82"/>
      <c r="K2329" s="340"/>
      <c r="L2329" s="344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>
      <c r="A2330" s="10"/>
      <c r="B2330" s="338"/>
      <c r="C2330" s="10"/>
      <c r="D2330" s="14"/>
      <c r="E2330" s="14"/>
      <c r="F2330" s="10"/>
      <c r="G2330" s="17"/>
      <c r="H2330" s="10"/>
      <c r="I2330" s="17"/>
      <c r="J2330" s="82"/>
      <c r="K2330" s="340"/>
      <c r="L2330" s="344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>
      <c r="A2331" s="10"/>
      <c r="B2331" s="338"/>
      <c r="C2331" s="10"/>
      <c r="D2331" s="14"/>
      <c r="E2331" s="14"/>
      <c r="F2331" s="10"/>
      <c r="G2331" s="17"/>
      <c r="H2331" s="10"/>
      <c r="I2331" s="17"/>
      <c r="J2331" s="82"/>
      <c r="K2331" s="340"/>
      <c r="L2331" s="344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>
      <c r="A2332" s="10"/>
      <c r="B2332" s="338"/>
      <c r="C2332" s="10"/>
      <c r="D2332" s="14"/>
      <c r="E2332" s="14"/>
      <c r="F2332" s="10"/>
      <c r="G2332" s="17"/>
      <c r="H2332" s="10"/>
      <c r="I2332" s="17"/>
      <c r="J2332" s="82"/>
      <c r="K2332" s="340"/>
      <c r="L2332" s="344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>
      <c r="A2333" s="10"/>
      <c r="B2333" s="338"/>
      <c r="C2333" s="10"/>
      <c r="D2333" s="14"/>
      <c r="E2333" s="14"/>
      <c r="F2333" s="10"/>
      <c r="G2333" s="17"/>
      <c r="H2333" s="10"/>
      <c r="I2333" s="17"/>
      <c r="J2333" s="82"/>
      <c r="K2333" s="340"/>
      <c r="L2333" s="344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>
      <c r="A2334" s="10"/>
      <c r="B2334" s="338"/>
      <c r="C2334" s="10"/>
      <c r="D2334" s="14"/>
      <c r="E2334" s="14"/>
      <c r="F2334" s="10"/>
      <c r="G2334" s="17"/>
      <c r="H2334" s="10"/>
      <c r="I2334" s="17"/>
      <c r="J2334" s="82"/>
      <c r="K2334" s="340"/>
      <c r="L2334" s="344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>
      <c r="A2335" s="10"/>
      <c r="B2335" s="338"/>
      <c r="C2335" s="10"/>
      <c r="D2335" s="14"/>
      <c r="E2335" s="14"/>
      <c r="F2335" s="10"/>
      <c r="G2335" s="17"/>
      <c r="H2335" s="10"/>
      <c r="I2335" s="17"/>
      <c r="J2335" s="82"/>
      <c r="K2335" s="340"/>
      <c r="L2335" s="344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>
      <c r="A2336" s="17"/>
      <c r="B2336" s="337"/>
      <c r="C2336" s="17"/>
      <c r="D2336" s="18"/>
      <c r="E2336" s="18"/>
      <c r="F2336" s="17"/>
      <c r="G2336" s="17"/>
      <c r="H2336" s="17"/>
      <c r="I2336" s="17"/>
      <c r="J2336" s="83"/>
      <c r="K2336" s="340"/>
      <c r="L2336" s="344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>
      <c r="A2337" s="10"/>
      <c r="B2337" s="226"/>
      <c r="C2337" s="10"/>
      <c r="D2337" s="85"/>
      <c r="E2337" s="155"/>
      <c r="F2337" s="21"/>
      <c r="G2337" s="17"/>
      <c r="H2337" s="10"/>
      <c r="I2337" s="17"/>
      <c r="J2337" s="82"/>
      <c r="K2337" s="341"/>
      <c r="L2337" s="344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>
      <c r="A2338" s="10"/>
      <c r="B2338" s="226"/>
      <c r="C2338" s="10"/>
      <c r="D2338" s="85"/>
      <c r="E2338" s="155"/>
      <c r="F2338" s="14"/>
      <c r="G2338" s="17"/>
      <c r="H2338" s="10"/>
      <c r="I2338" s="17"/>
      <c r="J2338" s="82"/>
      <c r="K2338" s="340"/>
      <c r="L2338" s="344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>
      <c r="A2339" s="10"/>
      <c r="B2339" s="226"/>
      <c r="C2339" s="10"/>
      <c r="D2339" s="85"/>
      <c r="E2339" s="158"/>
      <c r="F2339" s="14"/>
      <c r="G2339" s="17"/>
      <c r="H2339" s="10"/>
      <c r="I2339" s="17"/>
      <c r="J2339" s="82"/>
      <c r="K2339" s="340"/>
      <c r="L2339" s="344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>
      <c r="A2340" s="10"/>
      <c r="B2340" s="226"/>
      <c r="C2340" s="10"/>
      <c r="D2340" s="85"/>
      <c r="E2340" s="158"/>
      <c r="F2340" s="36"/>
      <c r="G2340" s="17"/>
      <c r="H2340" s="10"/>
      <c r="I2340" s="17"/>
      <c r="J2340" s="82"/>
      <c r="K2340" s="340"/>
      <c r="L2340" s="344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>
      <c r="A2341" s="10"/>
      <c r="B2341" s="226"/>
      <c r="C2341" s="111"/>
      <c r="D2341" s="85"/>
      <c r="E2341" s="336"/>
      <c r="F2341" s="14"/>
      <c r="G2341" s="17"/>
      <c r="H2341" s="10"/>
      <c r="I2341" s="17"/>
      <c r="J2341" s="82"/>
      <c r="K2341" s="341"/>
      <c r="L2341" s="344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>
      <c r="A2342" s="10"/>
      <c r="B2342" s="226"/>
      <c r="C2342" s="10"/>
      <c r="D2342" s="85"/>
      <c r="E2342" s="155"/>
      <c r="F2342" s="14"/>
      <c r="G2342" s="17"/>
      <c r="H2342" s="10"/>
      <c r="I2342" s="17"/>
      <c r="J2342" s="82"/>
      <c r="K2342" s="340"/>
      <c r="L2342" s="344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>
      <c r="A2343" s="10"/>
      <c r="B2343" s="338"/>
      <c r="C2343" s="10"/>
      <c r="D2343" s="85"/>
      <c r="E2343" s="14"/>
      <c r="F2343" s="21"/>
      <c r="G2343" s="17"/>
      <c r="H2343" s="10"/>
      <c r="I2343" s="17"/>
      <c r="J2343" s="82"/>
      <c r="K2343" s="340"/>
      <c r="L2343" s="344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>
      <c r="A2344" s="10"/>
      <c r="B2344" s="338"/>
      <c r="C2344" s="10"/>
      <c r="D2344" s="85"/>
      <c r="E2344" s="14"/>
      <c r="F2344" s="21"/>
      <c r="G2344" s="17"/>
      <c r="H2344" s="10"/>
      <c r="I2344" s="17"/>
      <c r="J2344" s="82"/>
      <c r="K2344" s="340"/>
      <c r="L2344" s="344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>
      <c r="A2345" s="10"/>
      <c r="B2345" s="338"/>
      <c r="C2345" s="10"/>
      <c r="D2345" s="14"/>
      <c r="E2345" s="14"/>
      <c r="F2345" s="10"/>
      <c r="G2345" s="17"/>
      <c r="H2345" s="10"/>
      <c r="I2345" s="17"/>
      <c r="J2345" s="82"/>
      <c r="K2345" s="340"/>
      <c r="L2345" s="344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>
      <c r="A2346" s="10"/>
      <c r="B2346" s="338"/>
      <c r="C2346" s="10"/>
      <c r="D2346" s="14"/>
      <c r="E2346" s="14"/>
      <c r="F2346" s="10"/>
      <c r="G2346" s="17"/>
      <c r="H2346" s="10"/>
      <c r="I2346" s="17"/>
      <c r="J2346" s="82"/>
      <c r="K2346" s="340"/>
      <c r="L2346" s="344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>
      <c r="A2347" s="10"/>
      <c r="B2347" s="338"/>
      <c r="C2347" s="10"/>
      <c r="D2347" s="14"/>
      <c r="E2347" s="14"/>
      <c r="F2347" s="10"/>
      <c r="G2347" s="17"/>
      <c r="H2347" s="10"/>
      <c r="I2347" s="17"/>
      <c r="J2347" s="82"/>
      <c r="K2347" s="340"/>
      <c r="L2347" s="344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>
      <c r="A2348" s="10"/>
      <c r="B2348" s="338"/>
      <c r="C2348" s="10"/>
      <c r="D2348" s="14"/>
      <c r="E2348" s="14"/>
      <c r="F2348" s="10"/>
      <c r="G2348" s="17"/>
      <c r="H2348" s="10"/>
      <c r="I2348" s="17"/>
      <c r="J2348" s="82"/>
      <c r="K2348" s="340"/>
      <c r="L2348" s="344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>
      <c r="A2349" s="10"/>
      <c r="B2349" s="338"/>
      <c r="C2349" s="10"/>
      <c r="D2349" s="14"/>
      <c r="E2349" s="14"/>
      <c r="F2349" s="10"/>
      <c r="G2349" s="17"/>
      <c r="H2349" s="10"/>
      <c r="I2349" s="17"/>
      <c r="J2349" s="82"/>
      <c r="K2349" s="340"/>
      <c r="L2349" s="344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>
      <c r="A2350" s="10"/>
      <c r="B2350" s="338"/>
      <c r="C2350" s="10"/>
      <c r="D2350" s="14"/>
      <c r="E2350" s="14"/>
      <c r="F2350" s="10"/>
      <c r="G2350" s="17"/>
      <c r="H2350" s="10"/>
      <c r="I2350" s="17"/>
      <c r="J2350" s="82"/>
      <c r="K2350" s="340"/>
      <c r="L2350" s="344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>
      <c r="A2351" s="10"/>
      <c r="B2351" s="226"/>
      <c r="C2351" s="10"/>
      <c r="D2351" s="85"/>
      <c r="E2351" s="155"/>
      <c r="F2351" s="21"/>
      <c r="G2351" s="17"/>
      <c r="H2351" s="10"/>
      <c r="I2351" s="17"/>
      <c r="J2351" s="82"/>
      <c r="K2351" s="341"/>
      <c r="L2351" s="344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>
      <c r="A2352" s="10"/>
      <c r="B2352" s="226"/>
      <c r="C2352" s="10"/>
      <c r="D2352" s="85"/>
      <c r="E2352" s="155"/>
      <c r="F2352" s="14"/>
      <c r="G2352" s="17"/>
      <c r="H2352" s="10"/>
      <c r="I2352" s="17"/>
      <c r="J2352" s="82"/>
      <c r="K2352" s="340"/>
      <c r="L2352" s="344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>
      <c r="A2353" s="10"/>
      <c r="B2353" s="226"/>
      <c r="C2353" s="10"/>
      <c r="D2353" s="85"/>
      <c r="E2353" s="158"/>
      <c r="F2353" s="14"/>
      <c r="G2353" s="17"/>
      <c r="H2353" s="10"/>
      <c r="I2353" s="17"/>
      <c r="J2353" s="82"/>
      <c r="K2353" s="340"/>
      <c r="L2353" s="344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>
      <c r="A2354" s="10"/>
      <c r="B2354" s="226"/>
      <c r="C2354" s="10"/>
      <c r="D2354" s="85"/>
      <c r="E2354" s="158"/>
      <c r="F2354" s="36"/>
      <c r="G2354" s="17"/>
      <c r="H2354" s="10"/>
      <c r="I2354" s="17"/>
      <c r="J2354" s="82"/>
      <c r="K2354" s="340"/>
      <c r="L2354" s="344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>
      <c r="A2355" s="10"/>
      <c r="B2355" s="226"/>
      <c r="C2355" s="111"/>
      <c r="D2355" s="85"/>
      <c r="E2355" s="336"/>
      <c r="F2355" s="14"/>
      <c r="G2355" s="17"/>
      <c r="H2355" s="10"/>
      <c r="I2355" s="17"/>
      <c r="J2355" s="82"/>
      <c r="K2355" s="341"/>
      <c r="L2355" s="344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>
      <c r="A2356" s="10"/>
      <c r="B2356" s="226"/>
      <c r="C2356" s="10"/>
      <c r="D2356" s="85"/>
      <c r="E2356" s="155"/>
      <c r="F2356" s="14"/>
      <c r="G2356" s="17"/>
      <c r="H2356" s="10"/>
      <c r="I2356" s="17"/>
      <c r="J2356" s="82"/>
      <c r="K2356" s="340"/>
      <c r="L2356" s="344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>
      <c r="A2357" s="10"/>
      <c r="B2357" s="338"/>
      <c r="C2357" s="10"/>
      <c r="D2357" s="85"/>
      <c r="E2357" s="14"/>
      <c r="F2357" s="21"/>
      <c r="G2357" s="17"/>
      <c r="H2357" s="10"/>
      <c r="I2357" s="17"/>
      <c r="J2357" s="82"/>
      <c r="K2357" s="340"/>
      <c r="L2357" s="344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>
      <c r="A2358" s="10"/>
      <c r="B2358" s="338"/>
      <c r="C2358" s="10"/>
      <c r="D2358" s="85"/>
      <c r="E2358" s="14"/>
      <c r="F2358" s="21"/>
      <c r="G2358" s="17"/>
      <c r="H2358" s="10"/>
      <c r="I2358" s="17"/>
      <c r="J2358" s="82"/>
      <c r="K2358" s="340"/>
      <c r="L2358" s="344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>
      <c r="A2359" s="10"/>
      <c r="B2359" s="338"/>
      <c r="C2359" s="10"/>
      <c r="D2359" s="14"/>
      <c r="E2359" s="14"/>
      <c r="F2359" s="10"/>
      <c r="G2359" s="17"/>
      <c r="H2359" s="10"/>
      <c r="I2359" s="17"/>
      <c r="J2359" s="82"/>
      <c r="K2359" s="340"/>
      <c r="L2359" s="344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>
      <c r="A2360" s="10"/>
      <c r="B2360" s="338"/>
      <c r="C2360" s="10"/>
      <c r="D2360" s="14"/>
      <c r="E2360" s="14"/>
      <c r="F2360" s="10"/>
      <c r="G2360" s="17"/>
      <c r="H2360" s="10"/>
      <c r="I2360" s="17"/>
      <c r="J2360" s="82"/>
      <c r="K2360" s="340"/>
      <c r="L2360" s="344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>
      <c r="A2361" s="10"/>
      <c r="B2361" s="338"/>
      <c r="C2361" s="10"/>
      <c r="D2361" s="14"/>
      <c r="E2361" s="14"/>
      <c r="F2361" s="10"/>
      <c r="G2361" s="17"/>
      <c r="H2361" s="10"/>
      <c r="I2361" s="17"/>
      <c r="J2361" s="82"/>
      <c r="K2361" s="340"/>
      <c r="L2361" s="344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>
      <c r="A2362" s="10"/>
      <c r="B2362" s="338"/>
      <c r="C2362" s="10"/>
      <c r="D2362" s="14"/>
      <c r="E2362" s="14"/>
      <c r="F2362" s="10"/>
      <c r="G2362" s="17"/>
      <c r="H2362" s="10"/>
      <c r="I2362" s="17"/>
      <c r="J2362" s="82"/>
      <c r="K2362" s="340"/>
      <c r="L2362" s="344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>
      <c r="A2363" s="10"/>
      <c r="B2363" s="338"/>
      <c r="C2363" s="10"/>
      <c r="D2363" s="14"/>
      <c r="E2363" s="14"/>
      <c r="F2363" s="10"/>
      <c r="G2363" s="17"/>
      <c r="H2363" s="10"/>
      <c r="I2363" s="17"/>
      <c r="J2363" s="82"/>
      <c r="K2363" s="340"/>
      <c r="L2363" s="344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>
      <c r="A2364" s="10"/>
      <c r="B2364" s="338"/>
      <c r="C2364" s="10"/>
      <c r="D2364" s="14"/>
      <c r="E2364" s="14"/>
      <c r="F2364" s="10"/>
      <c r="G2364" s="17"/>
      <c r="H2364" s="10"/>
      <c r="I2364" s="17"/>
      <c r="J2364" s="82"/>
      <c r="K2364" s="340"/>
      <c r="L2364" s="344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>
      <c r="U5589" s="102"/>
    </row>
    <row r="5590" spans="21:21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activeCell="J43" sqref="J43"/>
    </sheetView>
  </sheetViews>
  <sheetFormatPr defaultRowHeight="15"/>
  <cols>
    <col min="1" max="1" width="25.7109375" bestFit="1" customWidth="1"/>
    <col min="2" max="2" width="9.7109375" bestFit="1" customWidth="1"/>
    <col min="3" max="3" width="6.42578125" style="266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>
      <c r="A1" s="437" t="s">
        <v>1472</v>
      </c>
      <c r="B1" s="436"/>
      <c r="C1" s="436"/>
      <c r="D1" s="436"/>
      <c r="E1" s="436"/>
      <c r="F1" s="436"/>
      <c r="G1" s="436"/>
      <c r="H1" s="436"/>
      <c r="I1" s="436"/>
      <c r="J1" s="436"/>
      <c r="K1" s="436"/>
      <c r="Q1" s="437" t="s">
        <v>1472</v>
      </c>
      <c r="R1" s="436"/>
      <c r="S1" s="436"/>
      <c r="T1" s="436"/>
      <c r="U1" s="436"/>
      <c r="V1" s="436"/>
      <c r="W1" s="436"/>
      <c r="X1" s="436"/>
      <c r="Y1" s="436"/>
      <c r="Z1" s="436"/>
      <c r="AA1" s="436"/>
    </row>
    <row r="2" spans="1:27" ht="15" customHeight="1">
      <c r="A2" s="435" t="s">
        <v>1473</v>
      </c>
      <c r="B2" s="436"/>
      <c r="C2" s="436"/>
      <c r="D2" s="436"/>
      <c r="E2" s="436"/>
      <c r="F2" s="436"/>
      <c r="G2" s="436"/>
      <c r="H2" s="436"/>
      <c r="I2" s="436"/>
      <c r="J2" s="436"/>
      <c r="K2" s="436"/>
      <c r="Q2" s="435" t="s">
        <v>1473</v>
      </c>
      <c r="R2" s="436"/>
      <c r="S2" s="436"/>
      <c r="T2" s="436"/>
      <c r="U2" s="436"/>
      <c r="V2" s="436"/>
      <c r="W2" s="436"/>
      <c r="X2" s="436"/>
      <c r="Y2" s="436"/>
      <c r="Z2" s="436"/>
      <c r="AA2" s="436"/>
    </row>
    <row r="3" spans="1:27" ht="15" customHeight="1">
      <c r="A3" s="255" t="s">
        <v>1474</v>
      </c>
      <c r="B3" s="256">
        <v>21.4</v>
      </c>
      <c r="C3"/>
      <c r="F3" s="438" t="s">
        <v>1511</v>
      </c>
      <c r="G3" s="439"/>
      <c r="H3" s="439"/>
      <c r="I3" s="440"/>
      <c r="Q3" s="255" t="s">
        <v>1474</v>
      </c>
      <c r="R3" s="256">
        <v>25</v>
      </c>
      <c r="S3" s="266"/>
      <c r="V3" s="441" t="s">
        <v>1475</v>
      </c>
      <c r="W3" s="442"/>
      <c r="X3" s="442"/>
      <c r="Y3" s="443"/>
    </row>
    <row r="4" spans="1:27" ht="15" customHeight="1">
      <c r="A4" s="255" t="s">
        <v>1476</v>
      </c>
      <c r="B4" s="257">
        <v>6.1</v>
      </c>
      <c r="C4"/>
      <c r="F4" s="272"/>
      <c r="I4" s="273"/>
      <c r="Q4" s="255" t="s">
        <v>1476</v>
      </c>
      <c r="R4" s="257">
        <v>6.1</v>
      </c>
      <c r="S4" s="266"/>
    </row>
    <row r="5" spans="1:27" ht="15" customHeight="1">
      <c r="A5" s="255" t="s">
        <v>1477</v>
      </c>
      <c r="B5" s="258">
        <f>B4/0.3048</f>
        <v>20.01312335958005</v>
      </c>
      <c r="C5"/>
      <c r="F5" s="274" t="s">
        <v>1478</v>
      </c>
      <c r="G5" s="259" t="s">
        <v>1479</v>
      </c>
      <c r="H5" s="259" t="s">
        <v>1480</v>
      </c>
      <c r="I5" s="275" t="s">
        <v>1481</v>
      </c>
      <c r="Q5" s="255" t="s">
        <v>1477</v>
      </c>
      <c r="R5" s="258">
        <f>R4/0.3048</f>
        <v>20.01312335958005</v>
      </c>
      <c r="S5" s="266"/>
      <c r="V5" s="259" t="s">
        <v>1478</v>
      </c>
      <c r="W5" s="259" t="s">
        <v>1479</v>
      </c>
      <c r="X5" s="259" t="s">
        <v>1480</v>
      </c>
      <c r="Y5" s="259" t="s">
        <v>1481</v>
      </c>
    </row>
    <row r="6" spans="1:27" ht="15" customHeight="1">
      <c r="A6" s="255" t="s">
        <v>1482</v>
      </c>
      <c r="B6" s="260" t="s">
        <v>1475</v>
      </c>
      <c r="C6"/>
      <c r="F6" s="276">
        <v>1.2</v>
      </c>
      <c r="G6" s="277">
        <v>1.3</v>
      </c>
      <c r="H6" s="277">
        <v>4</v>
      </c>
      <c r="I6" s="278">
        <v>4.4000000000000004</v>
      </c>
      <c r="Q6" s="255" t="s">
        <v>1482</v>
      </c>
      <c r="R6" s="260" t="s">
        <v>1475</v>
      </c>
      <c r="S6" s="266"/>
      <c r="V6" s="261">
        <v>1.2</v>
      </c>
      <c r="W6" s="261">
        <v>1.3</v>
      </c>
      <c r="X6" s="261">
        <v>4</v>
      </c>
      <c r="Y6" s="261">
        <v>4.4000000000000004</v>
      </c>
    </row>
    <row r="7" spans="1:27" ht="15" customHeight="1">
      <c r="A7" s="255" t="s">
        <v>1483</v>
      </c>
      <c r="B7" s="260" t="s">
        <v>1481</v>
      </c>
      <c r="C7"/>
      <c r="F7" s="438" t="s">
        <v>1510</v>
      </c>
      <c r="G7" s="439"/>
      <c r="H7" s="439"/>
      <c r="I7" s="440"/>
      <c r="Q7" s="255" t="s">
        <v>1483</v>
      </c>
      <c r="R7" s="260" t="s">
        <v>1479</v>
      </c>
      <c r="S7" s="266"/>
      <c r="V7" s="441" t="s">
        <v>1484</v>
      </c>
      <c r="W7" s="442"/>
      <c r="X7" s="442"/>
      <c r="Y7" s="443"/>
    </row>
    <row r="8" spans="1:27" ht="15" customHeight="1">
      <c r="A8" s="255" t="s">
        <v>1485</v>
      </c>
      <c r="B8" s="256">
        <f>IF($B$6="WINGIAB",INDEX($F$6:$I$6,MATCH($B$7,$F$5:$I$5,0)),INDEX($F$10:$I$10,MATCH($B$7,$F$9:$I$9,0)))</f>
        <v>4.4000000000000004</v>
      </c>
      <c r="C8"/>
      <c r="F8" s="272"/>
      <c r="I8" s="273"/>
      <c r="Q8" s="255" t="s">
        <v>1485</v>
      </c>
      <c r="R8" s="256">
        <f>IF($R$6="WINGIAB",INDEX($V$6:$Y$6,MATCH($R$7,$V$5:$Y$5,0)),INDEX($V$10:$Y$10,MATCH($R$7,$V$9:$Y$9,0)))</f>
        <v>1.3</v>
      </c>
      <c r="S8" s="266"/>
    </row>
    <row r="9" spans="1:27" ht="15" customHeight="1">
      <c r="A9" s="255" t="s">
        <v>1509</v>
      </c>
      <c r="B9" s="271">
        <v>0.05</v>
      </c>
      <c r="C9"/>
      <c r="F9" s="274" t="s">
        <v>1478</v>
      </c>
      <c r="G9" s="259" t="s">
        <v>1479</v>
      </c>
      <c r="H9" s="259" t="s">
        <v>1480</v>
      </c>
      <c r="I9" s="275" t="s">
        <v>1481</v>
      </c>
      <c r="Q9" s="270" t="s">
        <v>1501</v>
      </c>
      <c r="S9" s="266"/>
      <c r="V9" s="259" t="s">
        <v>1478</v>
      </c>
      <c r="W9" s="259" t="s">
        <v>1479</v>
      </c>
      <c r="X9" s="259" t="s">
        <v>1480</v>
      </c>
      <c r="Y9" s="259" t="s">
        <v>1481</v>
      </c>
    </row>
    <row r="10" spans="1:27" ht="15" customHeight="1">
      <c r="C10"/>
      <c r="F10" s="276">
        <v>1.2</v>
      </c>
      <c r="G10" s="277">
        <v>1.3</v>
      </c>
      <c r="H10" s="277">
        <v>4</v>
      </c>
      <c r="I10" s="278">
        <v>4.4000000000000004</v>
      </c>
      <c r="S10" s="266"/>
      <c r="V10" s="261">
        <v>1.2</v>
      </c>
      <c r="W10" s="261">
        <v>1.3</v>
      </c>
      <c r="X10" s="261">
        <v>4</v>
      </c>
      <c r="Y10" s="261">
        <v>4.4000000000000004</v>
      </c>
    </row>
    <row r="11" spans="1:27" ht="15" customHeight="1">
      <c r="A11" s="435" t="s">
        <v>1486</v>
      </c>
      <c r="B11" s="436"/>
      <c r="C11" s="436"/>
      <c r="D11" s="436"/>
      <c r="E11" s="436"/>
      <c r="F11" s="436"/>
      <c r="G11" s="436"/>
      <c r="H11" s="436"/>
      <c r="I11" s="436"/>
      <c r="J11" s="436"/>
      <c r="K11" s="436"/>
      <c r="L11">
        <v>6060</v>
      </c>
      <c r="M11">
        <f>L11/304.8</f>
        <v>19.881889763779526</v>
      </c>
      <c r="Q11" s="435" t="s">
        <v>1486</v>
      </c>
      <c r="R11" s="436"/>
      <c r="S11" s="436"/>
      <c r="T11" s="436"/>
      <c r="U11" s="436"/>
      <c r="V11" s="436"/>
      <c r="W11" s="436"/>
      <c r="X11" s="436"/>
      <c r="Y11" s="436"/>
      <c r="Z11" s="436"/>
      <c r="AA11" s="436"/>
    </row>
    <row r="12" spans="1:27" ht="15" customHeight="1">
      <c r="A12" s="259" t="s">
        <v>1487</v>
      </c>
      <c r="B12" s="259" t="s">
        <v>1508</v>
      </c>
      <c r="C12" s="259" t="s">
        <v>1488</v>
      </c>
      <c r="D12" s="259" t="s">
        <v>1489</v>
      </c>
      <c r="E12" s="259" t="s">
        <v>1507</v>
      </c>
      <c r="F12" s="259" t="s">
        <v>1506</v>
      </c>
      <c r="G12" s="259" t="s">
        <v>1505</v>
      </c>
      <c r="H12" s="259" t="s">
        <v>1504</v>
      </c>
      <c r="I12" s="259" t="s">
        <v>1503</v>
      </c>
      <c r="J12" s="259" t="s">
        <v>1502</v>
      </c>
      <c r="K12" s="259" t="s">
        <v>1496</v>
      </c>
      <c r="Q12" s="259" t="s">
        <v>1487</v>
      </c>
      <c r="R12" s="259" t="s">
        <v>1498</v>
      </c>
      <c r="S12" s="267" t="s">
        <v>1488</v>
      </c>
      <c r="T12" s="259" t="s">
        <v>1489</v>
      </c>
      <c r="U12" s="259" t="s">
        <v>1490</v>
      </c>
      <c r="V12" s="259" t="s">
        <v>1491</v>
      </c>
      <c r="W12" s="259" t="s">
        <v>1492</v>
      </c>
      <c r="X12" s="259" t="s">
        <v>1493</v>
      </c>
      <c r="Y12" s="259" t="s">
        <v>1494</v>
      </c>
      <c r="Z12" s="259" t="s">
        <v>1495</v>
      </c>
      <c r="AA12" s="259" t="s">
        <v>1496</v>
      </c>
    </row>
    <row r="13" spans="1:27" ht="15" customHeight="1">
      <c r="A13" s="262" t="s">
        <v>1766</v>
      </c>
      <c r="B13" s="263">
        <v>1</v>
      </c>
      <c r="C13" s="269">
        <v>0.47499999999999998</v>
      </c>
      <c r="D13" s="269">
        <v>333.05</v>
      </c>
      <c r="E13" s="261">
        <f t="shared" ref="E13:E24" si="0">$B$4*C13*$B$3*(1+$B$9)</f>
        <v>65.106824999999986</v>
      </c>
      <c r="F13" s="261">
        <f t="shared" ref="F13:F24" si="1">(D13/1000)*$B$4*10.7639104167*$B$8*(1+$B$9)</f>
        <v>101.03022570619349</v>
      </c>
      <c r="G13" s="261">
        <f t="shared" ref="G13:G24" si="2">E13+F13</f>
        <v>166.13705070619346</v>
      </c>
      <c r="H13" s="261">
        <f t="shared" ref="H13:H24" si="3">E13/$B$5</f>
        <v>3.2532065999999999</v>
      </c>
      <c r="I13" s="261">
        <f t="shared" ref="I13:I24" si="4">F13/$B$5</f>
        <v>5.0481988188930789</v>
      </c>
      <c r="J13" s="261">
        <f>G13/$B$5</f>
        <v>8.3014054188930775</v>
      </c>
      <c r="K13" s="261">
        <f>G13*B13</f>
        <v>166.13705070619346</v>
      </c>
      <c r="L13" s="78">
        <f>K13/M11</f>
        <v>8.3562001741332956</v>
      </c>
      <c r="Q13" s="262" t="s">
        <v>1766</v>
      </c>
      <c r="R13" s="263">
        <v>1</v>
      </c>
      <c r="S13" s="257">
        <v>0.871</v>
      </c>
      <c r="T13" s="263">
        <v>250</v>
      </c>
      <c r="U13" s="261">
        <f t="shared" ref="U13:U24" si="5">$R$4*S13*$R$3</f>
        <v>132.82749999999999</v>
      </c>
      <c r="V13" s="261">
        <f t="shared" ref="V13:V24" si="6">(T13/1000)*$R$4*10.7639104167*$R$8</f>
        <v>21.339452401107749</v>
      </c>
      <c r="W13" s="261">
        <f t="shared" ref="W13:W24" si="7">U13+V13</f>
        <v>154.16695240110772</v>
      </c>
      <c r="X13" s="261">
        <f t="shared" ref="X13:X24" si="8">U13/$R$5</f>
        <v>6.6370200000000006</v>
      </c>
      <c r="Y13" s="261">
        <f t="shared" ref="Y13:Y24" si="9">V13/$R$5</f>
        <v>1.0662729658783021</v>
      </c>
      <c r="Z13" s="261">
        <f t="shared" ref="Z13:Z24" si="10">W13/$R$5</f>
        <v>7.703292965878302</v>
      </c>
      <c r="AA13" s="261">
        <f t="shared" ref="AA13:AA24" si="11">W13*R13</f>
        <v>154.16695240110772</v>
      </c>
    </row>
    <row r="14" spans="1:27" ht="15" customHeight="1">
      <c r="A14" s="262"/>
      <c r="B14" s="263"/>
      <c r="C14" s="269"/>
      <c r="D14" s="269"/>
      <c r="E14" s="261">
        <f t="shared" si="0"/>
        <v>0</v>
      </c>
      <c r="F14" s="261">
        <f t="shared" si="1"/>
        <v>0</v>
      </c>
      <c r="G14" s="261">
        <f t="shared" si="2"/>
        <v>0</v>
      </c>
      <c r="H14" s="261">
        <f t="shared" si="3"/>
        <v>0</v>
      </c>
      <c r="I14" s="261">
        <f t="shared" si="4"/>
        <v>0</v>
      </c>
      <c r="J14" s="261">
        <f t="shared" ref="J14:J24" si="12">G14/$B$5</f>
        <v>0</v>
      </c>
      <c r="K14" s="261">
        <f t="shared" ref="K14:K24" si="13">G14*B14</f>
        <v>0</v>
      </c>
      <c r="Q14" s="262" t="s">
        <v>1767</v>
      </c>
      <c r="R14" s="263">
        <v>1</v>
      </c>
      <c r="S14" s="257">
        <v>0.73899999999999999</v>
      </c>
      <c r="T14" s="263">
        <v>209</v>
      </c>
      <c r="U14" s="261">
        <f t="shared" si="5"/>
        <v>112.69749999999999</v>
      </c>
      <c r="V14" s="261">
        <f t="shared" si="6"/>
        <v>17.839782207326078</v>
      </c>
      <c r="W14" s="261">
        <f t="shared" si="7"/>
        <v>130.53728220732606</v>
      </c>
      <c r="X14" s="261">
        <f t="shared" si="8"/>
        <v>5.6311800000000005</v>
      </c>
      <c r="Y14" s="261">
        <f t="shared" si="9"/>
        <v>0.89140419947426053</v>
      </c>
      <c r="Z14" s="261">
        <f t="shared" si="10"/>
        <v>6.5225841994742604</v>
      </c>
      <c r="AA14" s="261">
        <f t="shared" si="11"/>
        <v>130.53728220732606</v>
      </c>
    </row>
    <row r="15" spans="1:27" ht="15" customHeight="1">
      <c r="A15" s="262"/>
      <c r="B15" s="263"/>
      <c r="C15" s="269"/>
      <c r="D15" s="269"/>
      <c r="E15" s="261">
        <f t="shared" si="0"/>
        <v>0</v>
      </c>
      <c r="F15" s="261">
        <f t="shared" si="1"/>
        <v>0</v>
      </c>
      <c r="G15" s="261">
        <f t="shared" si="2"/>
        <v>0</v>
      </c>
      <c r="H15" s="261">
        <f t="shared" si="3"/>
        <v>0</v>
      </c>
      <c r="I15" s="261">
        <f t="shared" si="4"/>
        <v>0</v>
      </c>
      <c r="J15" s="261">
        <f t="shared" si="12"/>
        <v>0</v>
      </c>
      <c r="K15" s="261">
        <f t="shared" si="13"/>
        <v>0</v>
      </c>
      <c r="Q15" s="262" t="s">
        <v>1768</v>
      </c>
      <c r="R15" s="263">
        <v>1</v>
      </c>
      <c r="S15" s="257">
        <v>0.125</v>
      </c>
      <c r="T15" s="263">
        <v>89</v>
      </c>
      <c r="U15" s="261">
        <f t="shared" si="5"/>
        <v>19.0625</v>
      </c>
      <c r="V15" s="261">
        <f t="shared" si="6"/>
        <v>7.5968450547943585</v>
      </c>
      <c r="W15" s="261">
        <f t="shared" si="7"/>
        <v>26.659345054794358</v>
      </c>
      <c r="X15" s="261">
        <f t="shared" si="8"/>
        <v>0.95250000000000012</v>
      </c>
      <c r="Y15" s="261">
        <f t="shared" si="9"/>
        <v>0.37959317585267555</v>
      </c>
      <c r="Z15" s="261">
        <f t="shared" si="10"/>
        <v>1.3320931758526757</v>
      </c>
      <c r="AA15" s="261">
        <f t="shared" si="11"/>
        <v>26.659345054794358</v>
      </c>
    </row>
    <row r="16" spans="1:27" ht="15" customHeight="1">
      <c r="A16" s="262"/>
      <c r="B16" s="263"/>
      <c r="C16" s="269"/>
      <c r="D16" s="269"/>
      <c r="E16" s="261">
        <f t="shared" si="0"/>
        <v>0</v>
      </c>
      <c r="F16" s="261">
        <f t="shared" si="1"/>
        <v>0</v>
      </c>
      <c r="G16" s="261">
        <f t="shared" si="2"/>
        <v>0</v>
      </c>
      <c r="H16" s="261">
        <f t="shared" si="3"/>
        <v>0</v>
      </c>
      <c r="I16" s="261">
        <f t="shared" si="4"/>
        <v>0</v>
      </c>
      <c r="J16" s="261">
        <f t="shared" si="12"/>
        <v>0</v>
      </c>
      <c r="K16" s="261">
        <f t="shared" si="13"/>
        <v>0</v>
      </c>
      <c r="Q16" s="262" t="s">
        <v>1769</v>
      </c>
      <c r="R16" s="263">
        <v>1</v>
      </c>
      <c r="S16" s="257">
        <v>1.05</v>
      </c>
      <c r="T16" s="263">
        <v>328</v>
      </c>
      <c r="U16" s="261">
        <f t="shared" si="5"/>
        <v>160.125</v>
      </c>
      <c r="V16" s="261">
        <f t="shared" si="6"/>
        <v>27.99736155025337</v>
      </c>
      <c r="W16" s="261">
        <f t="shared" si="7"/>
        <v>188.12236155025337</v>
      </c>
      <c r="X16" s="261">
        <f t="shared" si="8"/>
        <v>8.0010000000000012</v>
      </c>
      <c r="Y16" s="261">
        <f t="shared" si="9"/>
        <v>1.3989501312323325</v>
      </c>
      <c r="Z16" s="261">
        <f t="shared" si="10"/>
        <v>9.3999501312323339</v>
      </c>
      <c r="AA16" s="261">
        <f t="shared" si="11"/>
        <v>188.12236155025337</v>
      </c>
    </row>
    <row r="17" spans="1:27" ht="15" customHeight="1">
      <c r="A17" s="262"/>
      <c r="B17" s="263"/>
      <c r="C17" s="269"/>
      <c r="D17" s="269"/>
      <c r="E17" s="261">
        <f t="shared" si="0"/>
        <v>0</v>
      </c>
      <c r="F17" s="261">
        <f t="shared" si="1"/>
        <v>0</v>
      </c>
      <c r="G17" s="261">
        <f t="shared" si="2"/>
        <v>0</v>
      </c>
      <c r="H17" s="261">
        <f t="shared" si="3"/>
        <v>0</v>
      </c>
      <c r="I17" s="261">
        <f t="shared" si="4"/>
        <v>0</v>
      </c>
      <c r="J17" s="261">
        <f t="shared" si="12"/>
        <v>0</v>
      </c>
      <c r="K17" s="261">
        <f t="shared" si="13"/>
        <v>0</v>
      </c>
      <c r="Q17" s="262"/>
      <c r="R17" s="263"/>
      <c r="S17" s="268"/>
      <c r="T17" s="269"/>
      <c r="U17" s="261">
        <f t="shared" si="5"/>
        <v>0</v>
      </c>
      <c r="V17" s="261">
        <f t="shared" si="6"/>
        <v>0</v>
      </c>
      <c r="W17" s="261">
        <f t="shared" si="7"/>
        <v>0</v>
      </c>
      <c r="X17" s="261">
        <f t="shared" si="8"/>
        <v>0</v>
      </c>
      <c r="Y17" s="261">
        <f t="shared" si="9"/>
        <v>0</v>
      </c>
      <c r="Z17" s="261">
        <f t="shared" si="10"/>
        <v>0</v>
      </c>
      <c r="AA17" s="261">
        <f t="shared" si="11"/>
        <v>0</v>
      </c>
    </row>
    <row r="18" spans="1:27" ht="15" customHeight="1">
      <c r="A18" s="262"/>
      <c r="B18" s="263"/>
      <c r="C18" s="269"/>
      <c r="D18" s="269"/>
      <c r="E18" s="261">
        <f t="shared" si="0"/>
        <v>0</v>
      </c>
      <c r="F18" s="261">
        <f t="shared" si="1"/>
        <v>0</v>
      </c>
      <c r="G18" s="261">
        <f t="shared" si="2"/>
        <v>0</v>
      </c>
      <c r="H18" s="261">
        <f t="shared" si="3"/>
        <v>0</v>
      </c>
      <c r="I18" s="261">
        <f t="shared" si="4"/>
        <v>0</v>
      </c>
      <c r="J18" s="261">
        <f t="shared" si="12"/>
        <v>0</v>
      </c>
      <c r="K18" s="261">
        <f t="shared" si="13"/>
        <v>0</v>
      </c>
      <c r="Q18" s="262"/>
      <c r="R18" s="263"/>
      <c r="S18" s="268"/>
      <c r="T18" s="269"/>
      <c r="U18" s="261">
        <f t="shared" si="5"/>
        <v>0</v>
      </c>
      <c r="V18" s="261">
        <f t="shared" si="6"/>
        <v>0</v>
      </c>
      <c r="W18" s="261">
        <f t="shared" si="7"/>
        <v>0</v>
      </c>
      <c r="X18" s="261">
        <f t="shared" si="8"/>
        <v>0</v>
      </c>
      <c r="Y18" s="261">
        <f t="shared" si="9"/>
        <v>0</v>
      </c>
      <c r="Z18" s="261">
        <f t="shared" si="10"/>
        <v>0</v>
      </c>
      <c r="AA18" s="261">
        <f t="shared" si="11"/>
        <v>0</v>
      </c>
    </row>
    <row r="19" spans="1:27" ht="15" customHeight="1">
      <c r="A19" s="262"/>
      <c r="B19" s="263"/>
      <c r="C19" s="269"/>
      <c r="D19" s="269"/>
      <c r="E19" s="261">
        <f t="shared" si="0"/>
        <v>0</v>
      </c>
      <c r="F19" s="261">
        <f t="shared" si="1"/>
        <v>0</v>
      </c>
      <c r="G19" s="261">
        <f t="shared" si="2"/>
        <v>0</v>
      </c>
      <c r="H19" s="261">
        <f t="shared" si="3"/>
        <v>0</v>
      </c>
      <c r="I19" s="261">
        <f t="shared" si="4"/>
        <v>0</v>
      </c>
      <c r="J19" s="261">
        <f t="shared" si="12"/>
        <v>0</v>
      </c>
      <c r="K19" s="261">
        <f t="shared" si="13"/>
        <v>0</v>
      </c>
      <c r="Q19" s="262"/>
      <c r="R19" s="263"/>
      <c r="S19" s="268"/>
      <c r="T19" s="269"/>
      <c r="U19" s="261">
        <f t="shared" si="5"/>
        <v>0</v>
      </c>
      <c r="V19" s="261">
        <f t="shared" si="6"/>
        <v>0</v>
      </c>
      <c r="W19" s="261">
        <f t="shared" si="7"/>
        <v>0</v>
      </c>
      <c r="X19" s="261">
        <f t="shared" si="8"/>
        <v>0</v>
      </c>
      <c r="Y19" s="261">
        <f t="shared" si="9"/>
        <v>0</v>
      </c>
      <c r="Z19" s="261">
        <f t="shared" si="10"/>
        <v>0</v>
      </c>
      <c r="AA19" s="261">
        <f t="shared" si="11"/>
        <v>0</v>
      </c>
    </row>
    <row r="20" spans="1:27" ht="15" customHeight="1">
      <c r="A20" s="262"/>
      <c r="B20" s="263"/>
      <c r="C20" s="269"/>
      <c r="D20" s="269"/>
      <c r="E20" s="261">
        <f t="shared" si="0"/>
        <v>0</v>
      </c>
      <c r="F20" s="261">
        <f t="shared" si="1"/>
        <v>0</v>
      </c>
      <c r="G20" s="261">
        <f t="shared" si="2"/>
        <v>0</v>
      </c>
      <c r="H20" s="261">
        <f t="shared" si="3"/>
        <v>0</v>
      </c>
      <c r="I20" s="261">
        <f t="shared" si="4"/>
        <v>0</v>
      </c>
      <c r="J20" s="261">
        <f t="shared" si="12"/>
        <v>0</v>
      </c>
      <c r="K20" s="261">
        <f t="shared" si="13"/>
        <v>0</v>
      </c>
      <c r="Q20" s="262"/>
      <c r="R20" s="263"/>
      <c r="S20" s="268"/>
      <c r="T20" s="269"/>
      <c r="U20" s="261">
        <f t="shared" si="5"/>
        <v>0</v>
      </c>
      <c r="V20" s="261">
        <f t="shared" si="6"/>
        <v>0</v>
      </c>
      <c r="W20" s="261">
        <f t="shared" si="7"/>
        <v>0</v>
      </c>
      <c r="X20" s="261">
        <f t="shared" si="8"/>
        <v>0</v>
      </c>
      <c r="Y20" s="261">
        <f t="shared" si="9"/>
        <v>0</v>
      </c>
      <c r="Z20" s="261">
        <f t="shared" si="10"/>
        <v>0</v>
      </c>
      <c r="AA20" s="261">
        <f t="shared" si="11"/>
        <v>0</v>
      </c>
    </row>
    <row r="21" spans="1:27" ht="15" customHeight="1">
      <c r="A21" s="262"/>
      <c r="B21" s="263"/>
      <c r="C21" s="269"/>
      <c r="D21" s="269"/>
      <c r="E21" s="261">
        <f t="shared" si="0"/>
        <v>0</v>
      </c>
      <c r="F21" s="261">
        <f t="shared" si="1"/>
        <v>0</v>
      </c>
      <c r="G21" s="261">
        <f t="shared" si="2"/>
        <v>0</v>
      </c>
      <c r="H21" s="261">
        <f t="shared" si="3"/>
        <v>0</v>
      </c>
      <c r="I21" s="261">
        <f t="shared" si="4"/>
        <v>0</v>
      </c>
      <c r="J21" s="261">
        <f t="shared" si="12"/>
        <v>0</v>
      </c>
      <c r="K21" s="261">
        <f t="shared" si="13"/>
        <v>0</v>
      </c>
      <c r="Q21" s="262"/>
      <c r="R21" s="263"/>
      <c r="S21" s="268"/>
      <c r="T21" s="269"/>
      <c r="U21" s="261">
        <f t="shared" si="5"/>
        <v>0</v>
      </c>
      <c r="V21" s="261">
        <f t="shared" si="6"/>
        <v>0</v>
      </c>
      <c r="W21" s="261">
        <f t="shared" si="7"/>
        <v>0</v>
      </c>
      <c r="X21" s="261">
        <f t="shared" si="8"/>
        <v>0</v>
      </c>
      <c r="Y21" s="261">
        <f t="shared" si="9"/>
        <v>0</v>
      </c>
      <c r="Z21" s="261">
        <f t="shared" si="10"/>
        <v>0</v>
      </c>
      <c r="AA21" s="261">
        <f t="shared" si="11"/>
        <v>0</v>
      </c>
    </row>
    <row r="22" spans="1:27" ht="15" customHeight="1">
      <c r="A22" s="262"/>
      <c r="B22" s="263"/>
      <c r="C22" s="269"/>
      <c r="D22" s="269"/>
      <c r="E22" s="261">
        <f t="shared" si="0"/>
        <v>0</v>
      </c>
      <c r="F22" s="261">
        <f t="shared" si="1"/>
        <v>0</v>
      </c>
      <c r="G22" s="261">
        <f t="shared" si="2"/>
        <v>0</v>
      </c>
      <c r="H22" s="261">
        <f t="shared" si="3"/>
        <v>0</v>
      </c>
      <c r="I22" s="261">
        <f t="shared" si="4"/>
        <v>0</v>
      </c>
      <c r="J22" s="261">
        <f t="shared" si="12"/>
        <v>0</v>
      </c>
      <c r="K22" s="261">
        <f t="shared" si="13"/>
        <v>0</v>
      </c>
      <c r="Q22" s="262"/>
      <c r="R22" s="263"/>
      <c r="S22" s="268"/>
      <c r="T22" s="269"/>
      <c r="U22" s="261">
        <f t="shared" si="5"/>
        <v>0</v>
      </c>
      <c r="V22" s="261">
        <f t="shared" si="6"/>
        <v>0</v>
      </c>
      <c r="W22" s="261">
        <f t="shared" si="7"/>
        <v>0</v>
      </c>
      <c r="X22" s="261">
        <f t="shared" si="8"/>
        <v>0</v>
      </c>
      <c r="Y22" s="261">
        <f t="shared" si="9"/>
        <v>0</v>
      </c>
      <c r="Z22" s="261">
        <f t="shared" si="10"/>
        <v>0</v>
      </c>
      <c r="AA22" s="261">
        <f t="shared" si="11"/>
        <v>0</v>
      </c>
    </row>
    <row r="23" spans="1:27" ht="15" customHeight="1">
      <c r="A23" s="262"/>
      <c r="B23" s="263"/>
      <c r="C23" s="269"/>
      <c r="D23" s="269"/>
      <c r="E23" s="261">
        <f t="shared" si="0"/>
        <v>0</v>
      </c>
      <c r="F23" s="261">
        <f t="shared" si="1"/>
        <v>0</v>
      </c>
      <c r="G23" s="261">
        <f t="shared" si="2"/>
        <v>0</v>
      </c>
      <c r="H23" s="261">
        <f t="shared" si="3"/>
        <v>0</v>
      </c>
      <c r="I23" s="261">
        <f t="shared" si="4"/>
        <v>0</v>
      </c>
      <c r="J23" s="261">
        <f t="shared" si="12"/>
        <v>0</v>
      </c>
      <c r="K23" s="261">
        <f t="shared" si="13"/>
        <v>0</v>
      </c>
      <c r="Q23" s="262"/>
      <c r="R23" s="263"/>
      <c r="S23" s="268"/>
      <c r="T23" s="269"/>
      <c r="U23" s="261">
        <f t="shared" si="5"/>
        <v>0</v>
      </c>
      <c r="V23" s="261">
        <f t="shared" si="6"/>
        <v>0</v>
      </c>
      <c r="W23" s="261">
        <f t="shared" si="7"/>
        <v>0</v>
      </c>
      <c r="X23" s="261">
        <f t="shared" si="8"/>
        <v>0</v>
      </c>
      <c r="Y23" s="261">
        <f t="shared" si="9"/>
        <v>0</v>
      </c>
      <c r="Z23" s="261">
        <f t="shared" si="10"/>
        <v>0</v>
      </c>
      <c r="AA23" s="261">
        <f t="shared" si="11"/>
        <v>0</v>
      </c>
    </row>
    <row r="24" spans="1:27" ht="15" customHeight="1">
      <c r="A24" s="262"/>
      <c r="B24" s="263"/>
      <c r="C24" s="269"/>
      <c r="D24" s="269"/>
      <c r="E24" s="261">
        <f t="shared" si="0"/>
        <v>0</v>
      </c>
      <c r="F24" s="261">
        <f t="shared" si="1"/>
        <v>0</v>
      </c>
      <c r="G24" s="261">
        <f t="shared" si="2"/>
        <v>0</v>
      </c>
      <c r="H24" s="261">
        <f t="shared" si="3"/>
        <v>0</v>
      </c>
      <c r="I24" s="261">
        <f t="shared" si="4"/>
        <v>0</v>
      </c>
      <c r="J24" s="261">
        <f t="shared" si="12"/>
        <v>0</v>
      </c>
      <c r="K24" s="261">
        <f t="shared" si="13"/>
        <v>0</v>
      </c>
      <c r="Q24" s="262"/>
      <c r="R24" s="263"/>
      <c r="S24" s="268"/>
      <c r="T24" s="269"/>
      <c r="U24" s="261">
        <f t="shared" si="5"/>
        <v>0</v>
      </c>
      <c r="V24" s="261">
        <f t="shared" si="6"/>
        <v>0</v>
      </c>
      <c r="W24" s="261">
        <f t="shared" si="7"/>
        <v>0</v>
      </c>
      <c r="X24" s="261">
        <f t="shared" si="8"/>
        <v>0</v>
      </c>
      <c r="Y24" s="261">
        <f t="shared" si="9"/>
        <v>0</v>
      </c>
      <c r="Z24" s="261">
        <f t="shared" si="10"/>
        <v>0</v>
      </c>
      <c r="AA24" s="261">
        <f t="shared" si="11"/>
        <v>0</v>
      </c>
    </row>
    <row r="25" spans="1:27" ht="15" customHeight="1">
      <c r="C25"/>
      <c r="J25" s="264" t="s">
        <v>1497</v>
      </c>
      <c r="K25" s="265">
        <f>SUM(K13:K24)</f>
        <v>166.13705070619346</v>
      </c>
      <c r="S25" s="266"/>
      <c r="Z25" s="264" t="s">
        <v>1497</v>
      </c>
      <c r="AA25" s="265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2" customWidth="1"/>
    <col min="34" max="34" width="6.5703125" style="328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>
      <c r="A1" s="352" t="s">
        <v>1691</v>
      </c>
      <c r="T1" s="279"/>
      <c r="V1" s="444" t="s">
        <v>1519</v>
      </c>
      <c r="W1" s="444"/>
      <c r="AI1" s="146" t="s">
        <v>1752</v>
      </c>
      <c r="AJ1" s="146" t="s">
        <v>1751</v>
      </c>
      <c r="AK1" s="146" t="s">
        <v>1756</v>
      </c>
      <c r="AL1" s="372" t="s">
        <v>1756</v>
      </c>
      <c r="AM1" s="146" t="s">
        <v>1756</v>
      </c>
      <c r="AN1" s="146" t="s">
        <v>1751</v>
      </c>
    </row>
    <row r="2" spans="1:40">
      <c r="A2" s="353" t="s">
        <v>1692</v>
      </c>
      <c r="B2" s="353" t="s">
        <v>1693</v>
      </c>
      <c r="C2" s="353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5" t="s">
        <v>1466</v>
      </c>
      <c r="J2" s="325" t="s">
        <v>1467</v>
      </c>
      <c r="K2" s="325" t="s">
        <v>1468</v>
      </c>
      <c r="L2" s="279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79"/>
      <c r="V2" s="231" t="s">
        <v>1527</v>
      </c>
      <c r="W2" s="319"/>
      <c r="X2" s="324" cm="1">
        <f t="array" ref="X2:AE2">TRANSPOSE(D3:D10)</f>
        <v>1</v>
      </c>
      <c r="Y2" s="324">
        <v>2</v>
      </c>
      <c r="Z2" s="324">
        <v>3</v>
      </c>
      <c r="AA2" s="324">
        <v>4</v>
      </c>
      <c r="AB2" s="324">
        <v>5</v>
      </c>
      <c r="AC2" s="324">
        <v>6</v>
      </c>
      <c r="AD2" s="324">
        <v>7</v>
      </c>
      <c r="AE2" s="324">
        <v>8</v>
      </c>
      <c r="AF2" s="327">
        <v>9</v>
      </c>
      <c r="AG2" s="327">
        <v>10</v>
      </c>
      <c r="AH2" s="324" t="s">
        <v>1629</v>
      </c>
      <c r="AI2" s="161"/>
      <c r="AJ2" s="161" t="s">
        <v>1755</v>
      </c>
      <c r="AK2" s="161" t="s">
        <v>1757</v>
      </c>
      <c r="AL2" s="188" t="s">
        <v>99</v>
      </c>
      <c r="AM2" s="161" t="s">
        <v>1705</v>
      </c>
      <c r="AN2" s="161" t="s">
        <v>1762</v>
      </c>
    </row>
    <row r="3" spans="1:40">
      <c r="A3" s="335" t="s">
        <v>1469</v>
      </c>
      <c r="B3" s="376">
        <v>1</v>
      </c>
      <c r="C3" s="355"/>
      <c r="D3" s="101">
        <v>1</v>
      </c>
      <c r="E3" s="279">
        <v>1</v>
      </c>
      <c r="F3" s="101">
        <v>480</v>
      </c>
      <c r="G3" s="101">
        <v>2835</v>
      </c>
      <c r="H3" s="101">
        <v>1</v>
      </c>
      <c r="I3" s="325">
        <f>$C$38</f>
        <v>10</v>
      </c>
      <c r="J3" s="325">
        <f>$C$39</f>
        <v>4</v>
      </c>
      <c r="K3" s="325">
        <f>$C$40</f>
        <v>3</v>
      </c>
      <c r="L3" s="279"/>
      <c r="N3" s="1">
        <f>D3</f>
        <v>1</v>
      </c>
      <c r="O3" s="1">
        <f>F3</f>
        <v>480</v>
      </c>
      <c r="P3" s="1">
        <f t="shared" si="0"/>
        <v>2835</v>
      </c>
      <c r="Q3" s="326">
        <f>I3</f>
        <v>10</v>
      </c>
      <c r="R3" s="326">
        <f t="shared" ref="R3:S5" si="1">J3</f>
        <v>4</v>
      </c>
      <c r="S3" s="326">
        <f t="shared" si="1"/>
        <v>3</v>
      </c>
      <c r="T3" s="279"/>
      <c r="V3" s="106" t="s">
        <v>1520</v>
      </c>
      <c r="W3" s="106">
        <v>2</v>
      </c>
      <c r="X3" s="329">
        <v>2</v>
      </c>
      <c r="Y3" s="329"/>
      <c r="Z3" s="329"/>
      <c r="AA3" s="329"/>
      <c r="AB3" s="329"/>
      <c r="AC3" s="329"/>
      <c r="AD3" s="329"/>
      <c r="AE3" s="329"/>
      <c r="AF3" s="329"/>
      <c r="AG3" s="329"/>
      <c r="AH3" s="328">
        <f>SUM(X3:AG3)</f>
        <v>2</v>
      </c>
      <c r="AI3" s="251" t="s">
        <v>1760</v>
      </c>
      <c r="AJ3" s="15" t="s">
        <v>1761</v>
      </c>
      <c r="AK3" s="374">
        <v>51</v>
      </c>
      <c r="AL3" s="374">
        <v>32</v>
      </c>
      <c r="AM3" s="374">
        <v>10</v>
      </c>
      <c r="AN3" s="146">
        <v>31.75</v>
      </c>
    </row>
    <row r="4" spans="1:40">
      <c r="A4" s="335" t="s">
        <v>1694</v>
      </c>
      <c r="B4" s="376">
        <f>Enginuity!B3*304.8</f>
        <v>2438.4</v>
      </c>
      <c r="C4" s="355"/>
      <c r="D4" s="101">
        <v>2</v>
      </c>
      <c r="E4" s="279">
        <v>1</v>
      </c>
      <c r="F4" s="101">
        <v>2700</v>
      </c>
      <c r="G4" s="101">
        <v>2835</v>
      </c>
      <c r="H4" s="101">
        <v>3</v>
      </c>
      <c r="I4" s="325">
        <f t="shared" ref="I4:I12" si="2">$C$38</f>
        <v>10</v>
      </c>
      <c r="J4" s="356">
        <f>$C$39</f>
        <v>4</v>
      </c>
      <c r="K4" s="325">
        <f t="shared" ref="K4:K12" si="3">$C$40</f>
        <v>3</v>
      </c>
      <c r="L4" s="279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6">
        <f t="shared" ref="Q4:Q5" si="5">I4</f>
        <v>10</v>
      </c>
      <c r="R4" s="326">
        <f t="shared" si="1"/>
        <v>4</v>
      </c>
      <c r="S4" s="326">
        <f t="shared" si="1"/>
        <v>3</v>
      </c>
      <c r="T4" s="279"/>
      <c r="V4" s="106" t="s">
        <v>1526</v>
      </c>
      <c r="W4" s="106">
        <v>8</v>
      </c>
      <c r="X4" s="329">
        <v>8</v>
      </c>
      <c r="Y4" s="329"/>
      <c r="Z4" s="329"/>
      <c r="AA4" s="329"/>
      <c r="AB4" s="329"/>
      <c r="AC4" s="329"/>
      <c r="AD4" s="329"/>
      <c r="AE4" s="329"/>
      <c r="AF4" s="329"/>
      <c r="AG4" s="329"/>
      <c r="AH4" s="328">
        <f t="shared" ref="AH4:AH17" si="6">SUM(X4:AG4)</f>
        <v>8</v>
      </c>
      <c r="AI4" s="251" t="s">
        <v>1753</v>
      </c>
      <c r="AJ4" s="15" t="s">
        <v>1758</v>
      </c>
      <c r="AK4" s="374">
        <v>124.3</v>
      </c>
      <c r="AL4" s="374">
        <v>49.5</v>
      </c>
      <c r="AM4" s="374">
        <v>25.4</v>
      </c>
      <c r="AN4" s="93" t="s">
        <v>1764</v>
      </c>
    </row>
    <row r="5" spans="1:40">
      <c r="A5" s="335" t="s">
        <v>1695</v>
      </c>
      <c r="B5" s="376">
        <f>Enginuity!B4*304.8</f>
        <v>2438.4</v>
      </c>
      <c r="C5" s="355"/>
      <c r="D5" s="101">
        <v>3</v>
      </c>
      <c r="E5" s="279">
        <v>1</v>
      </c>
      <c r="F5" s="101">
        <v>2500</v>
      </c>
      <c r="G5" s="101">
        <v>2840</v>
      </c>
      <c r="H5" s="101">
        <v>3</v>
      </c>
      <c r="I5" s="325">
        <f t="shared" si="2"/>
        <v>10</v>
      </c>
      <c r="J5" s="325">
        <f t="shared" ref="J5:J12" si="7">$C$39</f>
        <v>4</v>
      </c>
      <c r="K5" s="325">
        <f t="shared" si="3"/>
        <v>3</v>
      </c>
      <c r="L5" s="279"/>
      <c r="N5" s="1">
        <f t="shared" si="4"/>
        <v>3</v>
      </c>
      <c r="O5" s="1">
        <f t="shared" si="0"/>
        <v>2500</v>
      </c>
      <c r="P5" s="1">
        <f t="shared" si="0"/>
        <v>2840</v>
      </c>
      <c r="Q5" s="326">
        <f t="shared" si="5"/>
        <v>10</v>
      </c>
      <c r="R5" s="326">
        <f t="shared" si="1"/>
        <v>4</v>
      </c>
      <c r="S5" s="326">
        <f t="shared" si="1"/>
        <v>3</v>
      </c>
      <c r="T5" s="279"/>
      <c r="V5" s="106" t="s">
        <v>1515</v>
      </c>
      <c r="W5" s="106">
        <v>12</v>
      </c>
      <c r="X5" s="329">
        <v>12</v>
      </c>
      <c r="Y5" s="329"/>
      <c r="Z5" s="329"/>
      <c r="AA5" s="329"/>
      <c r="AB5" s="329"/>
      <c r="AC5" s="329"/>
      <c r="AD5" s="329"/>
      <c r="AE5" s="329"/>
      <c r="AF5" s="329"/>
      <c r="AG5" s="329"/>
      <c r="AH5" s="328">
        <f t="shared" si="6"/>
        <v>12</v>
      </c>
      <c r="AI5" s="251" t="s">
        <v>1754</v>
      </c>
      <c r="AJ5" s="15" t="s">
        <v>1499</v>
      </c>
      <c r="AK5" s="374">
        <v>51</v>
      </c>
      <c r="AL5" s="374">
        <v>32</v>
      </c>
      <c r="AM5" s="374">
        <v>10</v>
      </c>
      <c r="AN5" s="375" t="s">
        <v>1500</v>
      </c>
    </row>
    <row r="6" spans="1:40">
      <c r="A6" s="335" t="s">
        <v>1470</v>
      </c>
      <c r="B6" s="376">
        <f>Enginuity!B13</f>
        <v>4</v>
      </c>
      <c r="C6" s="355"/>
      <c r="D6" s="101">
        <v>4</v>
      </c>
      <c r="E6" s="279">
        <v>1</v>
      </c>
      <c r="F6" s="101">
        <v>2490</v>
      </c>
      <c r="G6" s="101">
        <v>2840</v>
      </c>
      <c r="H6" s="101">
        <v>3</v>
      </c>
      <c r="I6" s="325">
        <f t="shared" si="2"/>
        <v>10</v>
      </c>
      <c r="J6" s="325">
        <f t="shared" si="7"/>
        <v>4</v>
      </c>
      <c r="K6" s="325">
        <f t="shared" si="3"/>
        <v>3</v>
      </c>
      <c r="L6" s="279"/>
      <c r="N6" s="1">
        <f t="shared" si="4"/>
        <v>4</v>
      </c>
      <c r="O6" s="1">
        <f t="shared" si="0"/>
        <v>2490</v>
      </c>
      <c r="P6" s="1">
        <f t="shared" si="0"/>
        <v>2840</v>
      </c>
      <c r="Q6" s="326"/>
      <c r="R6" s="326"/>
      <c r="S6" s="326"/>
      <c r="T6" s="279"/>
      <c r="V6" s="106" t="s">
        <v>1521</v>
      </c>
      <c r="W6" s="106">
        <v>1.5</v>
      </c>
      <c r="X6" s="329">
        <v>1.5</v>
      </c>
      <c r="Y6" s="329"/>
      <c r="Z6" s="329"/>
      <c r="AA6" s="329"/>
      <c r="AB6" s="329"/>
      <c r="AC6" s="329"/>
      <c r="AD6" s="329"/>
      <c r="AE6" s="329"/>
      <c r="AF6" s="329"/>
      <c r="AG6" s="329"/>
      <c r="AH6" s="328">
        <f t="shared" si="6"/>
        <v>1.5</v>
      </c>
      <c r="AI6" s="251" t="s">
        <v>1754</v>
      </c>
      <c r="AJ6" s="15" t="s">
        <v>1759</v>
      </c>
      <c r="AK6" s="374">
        <v>121.6</v>
      </c>
      <c r="AL6" s="374">
        <v>73.72</v>
      </c>
      <c r="AM6" s="374">
        <v>25.4</v>
      </c>
      <c r="AN6" s="93" t="s">
        <v>1763</v>
      </c>
    </row>
    <row r="7" spans="1:40">
      <c r="A7" s="335" t="s">
        <v>1696</v>
      </c>
      <c r="B7" s="377"/>
      <c r="C7" s="355" t="s">
        <v>1697</v>
      </c>
      <c r="D7" s="101">
        <v>5</v>
      </c>
      <c r="E7" s="279">
        <v>1</v>
      </c>
      <c r="F7" s="101">
        <v>2510</v>
      </c>
      <c r="G7" s="101">
        <v>2835</v>
      </c>
      <c r="H7" s="101">
        <v>3</v>
      </c>
      <c r="I7" s="325">
        <f t="shared" si="2"/>
        <v>10</v>
      </c>
      <c r="J7" s="325">
        <f t="shared" si="7"/>
        <v>4</v>
      </c>
      <c r="K7" s="325">
        <f t="shared" si="3"/>
        <v>3</v>
      </c>
      <c r="L7" s="279"/>
      <c r="N7" s="1">
        <f t="shared" si="4"/>
        <v>5</v>
      </c>
      <c r="O7" s="1">
        <f t="shared" si="0"/>
        <v>2510</v>
      </c>
      <c r="P7" s="1">
        <f t="shared" si="0"/>
        <v>2835</v>
      </c>
      <c r="Q7" s="326"/>
      <c r="R7" s="326"/>
      <c r="S7" s="326"/>
      <c r="T7" s="279"/>
      <c r="V7" s="106" t="s">
        <v>1522</v>
      </c>
      <c r="W7" s="106">
        <v>1</v>
      </c>
      <c r="X7" s="329">
        <v>1</v>
      </c>
      <c r="Y7" s="329"/>
      <c r="Z7" s="329"/>
      <c r="AA7" s="329"/>
      <c r="AB7" s="329"/>
      <c r="AC7" s="329"/>
      <c r="AD7" s="329"/>
      <c r="AE7" s="329"/>
      <c r="AF7" s="329"/>
      <c r="AG7" s="329"/>
      <c r="AH7" s="328">
        <f t="shared" si="6"/>
        <v>1</v>
      </c>
      <c r="AI7" s="251"/>
      <c r="AJ7" s="93"/>
      <c r="AK7" s="374"/>
      <c r="AL7" s="374"/>
      <c r="AM7" s="374"/>
      <c r="AN7" s="93"/>
    </row>
    <row r="8" spans="1:40">
      <c r="A8" s="335" t="s">
        <v>1698</v>
      </c>
      <c r="B8" s="378"/>
      <c r="C8" s="355" t="s">
        <v>1699</v>
      </c>
      <c r="D8" s="101">
        <v>6</v>
      </c>
      <c r="E8" s="279">
        <v>1</v>
      </c>
      <c r="F8" s="101">
        <v>2480</v>
      </c>
      <c r="G8" s="101">
        <v>2840</v>
      </c>
      <c r="H8" s="101">
        <v>3</v>
      </c>
      <c r="I8" s="325">
        <f t="shared" si="2"/>
        <v>10</v>
      </c>
      <c r="J8" s="325">
        <f t="shared" si="7"/>
        <v>4</v>
      </c>
      <c r="K8" s="325">
        <f t="shared" si="3"/>
        <v>3</v>
      </c>
      <c r="L8" s="279"/>
      <c r="N8" s="1">
        <f t="shared" si="4"/>
        <v>6</v>
      </c>
      <c r="O8" s="1">
        <f t="shared" si="0"/>
        <v>2480</v>
      </c>
      <c r="P8" s="1">
        <f t="shared" si="0"/>
        <v>2840</v>
      </c>
      <c r="Q8" s="326"/>
      <c r="R8" s="326"/>
      <c r="S8" s="326"/>
      <c r="T8" s="27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I8" s="251"/>
      <c r="AJ8" s="93"/>
      <c r="AK8" s="374"/>
      <c r="AL8" s="374"/>
      <c r="AM8" s="374"/>
      <c r="AN8" s="93"/>
    </row>
    <row r="9" spans="1:40" ht="15" customHeight="1">
      <c r="A9" s="335" t="s">
        <v>1700</v>
      </c>
      <c r="B9" s="378" t="s">
        <v>1701</v>
      </c>
      <c r="C9" s="357" t="s">
        <v>1702</v>
      </c>
      <c r="D9" s="101">
        <v>7</v>
      </c>
      <c r="E9" s="279">
        <v>1</v>
      </c>
      <c r="F9" s="101">
        <v>1050</v>
      </c>
      <c r="G9" s="101">
        <v>2400</v>
      </c>
      <c r="H9" s="101">
        <v>1</v>
      </c>
      <c r="I9" s="325">
        <f t="shared" si="2"/>
        <v>10</v>
      </c>
      <c r="J9" s="325">
        <f t="shared" si="7"/>
        <v>4</v>
      </c>
      <c r="K9" s="325">
        <f t="shared" si="3"/>
        <v>3</v>
      </c>
      <c r="L9" s="279"/>
      <c r="N9" s="1">
        <f t="shared" si="4"/>
        <v>7</v>
      </c>
      <c r="O9" s="1">
        <f t="shared" si="0"/>
        <v>1050</v>
      </c>
      <c r="P9" s="1">
        <f t="shared" si="0"/>
        <v>2400</v>
      </c>
      <c r="Q9" s="326"/>
      <c r="R9" s="326"/>
      <c r="S9" s="326"/>
      <c r="T9" s="279"/>
      <c r="V9" s="321" t="s">
        <v>1516</v>
      </c>
      <c r="W9" s="320"/>
      <c r="X9" s="329"/>
      <c r="Y9" s="329"/>
      <c r="Z9" s="329"/>
      <c r="AA9" s="329"/>
      <c r="AB9" s="329"/>
      <c r="AC9" s="329"/>
      <c r="AD9" s="329"/>
      <c r="AE9" s="329"/>
      <c r="AF9" s="329"/>
      <c r="AG9" s="329"/>
      <c r="AI9" s="251"/>
      <c r="AJ9" s="93"/>
      <c r="AK9" s="374"/>
      <c r="AL9" s="374"/>
      <c r="AM9" s="374"/>
      <c r="AN9" s="93"/>
    </row>
    <row r="10" spans="1:40">
      <c r="A10" s="335" t="s">
        <v>1703</v>
      </c>
      <c r="B10" s="376">
        <f>AK6</f>
        <v>121.6</v>
      </c>
      <c r="C10" s="355"/>
      <c r="D10" s="101">
        <v>8</v>
      </c>
      <c r="E10" s="279">
        <v>1</v>
      </c>
      <c r="F10" s="101">
        <v>2500</v>
      </c>
      <c r="G10" s="101">
        <v>2840</v>
      </c>
      <c r="H10" s="101">
        <v>3</v>
      </c>
      <c r="I10" s="325">
        <f t="shared" si="2"/>
        <v>10</v>
      </c>
      <c r="J10" s="325">
        <f t="shared" si="7"/>
        <v>4</v>
      </c>
      <c r="K10" s="325">
        <f t="shared" si="3"/>
        <v>3</v>
      </c>
      <c r="L10" s="279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6"/>
      <c r="R10" s="326"/>
      <c r="S10" s="326"/>
      <c r="T10" s="279"/>
      <c r="V10" s="106" t="s">
        <v>1517</v>
      </c>
      <c r="W10" s="106">
        <f>C25</f>
        <v>100</v>
      </c>
      <c r="X10" s="329">
        <v>65</v>
      </c>
      <c r="Y10" s="329"/>
      <c r="Z10" s="329"/>
      <c r="AA10" s="329"/>
      <c r="AB10" s="329"/>
      <c r="AC10" s="329"/>
      <c r="AD10" s="329"/>
      <c r="AE10" s="329"/>
      <c r="AF10" s="329"/>
      <c r="AG10" s="329"/>
      <c r="AH10" s="328">
        <f t="shared" si="6"/>
        <v>65</v>
      </c>
      <c r="AI10" s="251"/>
      <c r="AJ10" s="93"/>
      <c r="AK10" s="374"/>
      <c r="AL10" s="374"/>
      <c r="AM10" s="374"/>
      <c r="AN10" s="93"/>
    </row>
    <row r="11" spans="1:40">
      <c r="A11" s="335" t="s">
        <v>1704</v>
      </c>
      <c r="B11" s="376">
        <f>AL6</f>
        <v>73.72</v>
      </c>
      <c r="C11" s="355"/>
      <c r="D11" s="101">
        <v>9</v>
      </c>
      <c r="E11" s="279">
        <v>1</v>
      </c>
      <c r="F11" s="101">
        <v>2500</v>
      </c>
      <c r="G11" s="101">
        <v>2840</v>
      </c>
      <c r="H11" s="101">
        <v>3</v>
      </c>
      <c r="I11" s="325">
        <f t="shared" si="2"/>
        <v>10</v>
      </c>
      <c r="J11" s="325">
        <f t="shared" si="7"/>
        <v>4</v>
      </c>
      <c r="K11" s="325">
        <f t="shared" si="3"/>
        <v>3</v>
      </c>
      <c r="L11" s="279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6"/>
      <c r="R11" s="326"/>
      <c r="S11" s="326"/>
      <c r="T11" s="279"/>
      <c r="V11" s="106" t="s">
        <v>1529</v>
      </c>
      <c r="W11" s="106">
        <v>225</v>
      </c>
      <c r="X11" s="329">
        <v>225</v>
      </c>
      <c r="Y11" s="329"/>
      <c r="Z11" s="329"/>
      <c r="AA11" s="329"/>
      <c r="AB11" s="329"/>
      <c r="AC11" s="329"/>
      <c r="AD11" s="329"/>
      <c r="AE11" s="329"/>
      <c r="AF11" s="329"/>
      <c r="AG11" s="329"/>
      <c r="AH11" s="328">
        <f t="shared" si="6"/>
        <v>225</v>
      </c>
      <c r="AI11" s="251"/>
      <c r="AJ11" s="93"/>
      <c r="AK11" s="374"/>
      <c r="AL11" s="374"/>
      <c r="AM11" s="374"/>
      <c r="AN11" s="93"/>
    </row>
    <row r="12" spans="1:40">
      <c r="A12" s="335" t="s">
        <v>1705</v>
      </c>
      <c r="B12" s="376">
        <f>AM6</f>
        <v>25.4</v>
      </c>
      <c r="C12" s="355"/>
      <c r="D12" s="101"/>
      <c r="E12" s="279"/>
      <c r="F12" s="101"/>
      <c r="G12" s="101"/>
      <c r="H12" s="101"/>
      <c r="I12" s="325">
        <f t="shared" si="2"/>
        <v>10</v>
      </c>
      <c r="J12" s="325">
        <f t="shared" si="7"/>
        <v>4</v>
      </c>
      <c r="K12" s="325">
        <f t="shared" si="3"/>
        <v>3</v>
      </c>
      <c r="L12" s="279"/>
      <c r="N12" s="1">
        <f t="shared" si="4"/>
        <v>0</v>
      </c>
      <c r="O12" s="1">
        <f t="shared" si="0"/>
        <v>0</v>
      </c>
      <c r="P12" s="1">
        <f t="shared" si="0"/>
        <v>0</v>
      </c>
      <c r="Q12" s="326"/>
      <c r="R12" s="326"/>
      <c r="S12" s="326"/>
      <c r="T12" s="279"/>
      <c r="X12" s="329"/>
      <c r="Y12" s="329"/>
      <c r="Z12" s="329"/>
      <c r="AA12" s="329"/>
      <c r="AB12" s="329"/>
      <c r="AC12" s="329"/>
      <c r="AD12" s="329"/>
      <c r="AE12" s="329"/>
      <c r="AF12" s="329"/>
      <c r="AG12" s="329"/>
      <c r="AI12" s="251"/>
      <c r="AJ12" s="93"/>
      <c r="AK12" s="374"/>
      <c r="AL12" s="374"/>
      <c r="AM12" s="374"/>
      <c r="AN12" s="93"/>
    </row>
    <row r="13" spans="1:40">
      <c r="A13" s="335" t="s">
        <v>1706</v>
      </c>
      <c r="B13" s="376">
        <f>AM3/2</f>
        <v>5</v>
      </c>
      <c r="C13" s="355"/>
      <c r="I13" s="251"/>
      <c r="J13" s="93"/>
      <c r="K13" s="251"/>
      <c r="L13" s="279"/>
      <c r="Q13" s="251"/>
      <c r="R13" s="93"/>
      <c r="S13" s="251"/>
      <c r="T13" s="279"/>
      <c r="V13" s="321" t="s">
        <v>1471</v>
      </c>
      <c r="W13" s="320"/>
      <c r="X13" s="329"/>
      <c r="Y13" s="329"/>
      <c r="Z13" s="329"/>
      <c r="AA13" s="329"/>
      <c r="AB13" s="329"/>
      <c r="AC13" s="329"/>
      <c r="AD13" s="329"/>
      <c r="AE13" s="329"/>
      <c r="AF13" s="329"/>
      <c r="AG13" s="329"/>
      <c r="AI13" s="251"/>
      <c r="AJ13" s="93"/>
      <c r="AK13" s="374"/>
      <c r="AL13" s="374"/>
      <c r="AM13" s="374"/>
      <c r="AN13" s="93"/>
    </row>
    <row r="14" spans="1:40">
      <c r="A14" s="335" t="s">
        <v>1707</v>
      </c>
      <c r="B14" s="354"/>
      <c r="C14" s="355"/>
      <c r="I14" s="251"/>
      <c r="J14" s="93"/>
      <c r="K14" s="251"/>
      <c r="L14" s="279"/>
      <c r="Q14" s="251"/>
      <c r="R14" s="93"/>
      <c r="S14" s="251"/>
      <c r="T14" s="279"/>
      <c r="V14" s="106" t="s">
        <v>1523</v>
      </c>
      <c r="W14" s="106">
        <f>IF(W5&lt;=0,0,W11/W5)</f>
        <v>18.75</v>
      </c>
      <c r="X14" s="329">
        <v>18.75</v>
      </c>
      <c r="Y14" s="329"/>
      <c r="Z14" s="329"/>
      <c r="AA14" s="329"/>
      <c r="AB14" s="329"/>
      <c r="AC14" s="329"/>
      <c r="AD14" s="329"/>
      <c r="AE14" s="329"/>
      <c r="AF14" s="329"/>
      <c r="AG14" s="329"/>
      <c r="AH14" s="328">
        <f t="shared" si="6"/>
        <v>18.75</v>
      </c>
      <c r="AI14" s="251"/>
      <c r="AJ14" s="93"/>
      <c r="AK14" s="374"/>
      <c r="AL14" s="374"/>
      <c r="AM14" s="374"/>
      <c r="AN14" s="93"/>
    </row>
    <row r="15" spans="1:40">
      <c r="A15" s="335" t="s">
        <v>1708</v>
      </c>
      <c r="B15" s="377">
        <v>25.4</v>
      </c>
      <c r="C15" s="355"/>
      <c r="D15" s="1"/>
      <c r="E15" s="1"/>
      <c r="F15" s="1"/>
      <c r="G15" s="1"/>
      <c r="I15" s="93">
        <f>SUM(I3:I11)</f>
        <v>90</v>
      </c>
      <c r="J15" s="93">
        <f>SUM(J3:J11)</f>
        <v>36</v>
      </c>
      <c r="K15" s="93">
        <f>SUM(K3:K11)</f>
        <v>27</v>
      </c>
      <c r="L15" s="279"/>
      <c r="O15" s="1"/>
      <c r="P15" s="1"/>
      <c r="Q15" s="93">
        <f>SUM(Q3:Q12)</f>
        <v>30</v>
      </c>
      <c r="R15" s="93">
        <f>SUM(R3:R11)</f>
        <v>12</v>
      </c>
      <c r="S15" s="93">
        <f>SUM(S3:S11)</f>
        <v>9</v>
      </c>
      <c r="T15" s="279"/>
      <c r="V15" s="106" t="s">
        <v>1524</v>
      </c>
      <c r="W15" s="106">
        <f>IF(W14=0,0,W14*(W3/2)*W7)</f>
        <v>18.75</v>
      </c>
      <c r="X15" s="329">
        <v>18.75</v>
      </c>
      <c r="Y15" s="329"/>
      <c r="Z15" s="329"/>
      <c r="AA15" s="329"/>
      <c r="AB15" s="329"/>
      <c r="AC15" s="329"/>
      <c r="AD15" s="329"/>
      <c r="AE15" s="329"/>
      <c r="AF15" s="329"/>
      <c r="AG15" s="329"/>
      <c r="AH15" s="328">
        <f t="shared" si="6"/>
        <v>18.75</v>
      </c>
      <c r="AI15" s="251"/>
      <c r="AJ15" s="93"/>
      <c r="AK15" s="374"/>
      <c r="AL15" s="374"/>
      <c r="AM15" s="374"/>
      <c r="AN15" s="93"/>
    </row>
    <row r="16" spans="1:40">
      <c r="A16" s="335" t="s">
        <v>1709</v>
      </c>
      <c r="B16" s="377">
        <v>25.4</v>
      </c>
      <c r="C16" s="355"/>
      <c r="L16" s="279"/>
      <c r="T16" s="279"/>
      <c r="V16" s="106" t="s">
        <v>1514</v>
      </c>
      <c r="W16" s="106">
        <f>IF(W15=0,0,W10/W15)</f>
        <v>5.333333333333333</v>
      </c>
      <c r="X16" s="329">
        <v>3.4666666670000001</v>
      </c>
      <c r="Y16" s="329"/>
      <c r="Z16" s="329"/>
      <c r="AA16" s="329"/>
      <c r="AB16" s="329"/>
      <c r="AC16" s="329"/>
      <c r="AD16" s="329"/>
      <c r="AE16" s="329"/>
      <c r="AF16" s="329"/>
      <c r="AG16" s="329"/>
      <c r="AH16" s="328">
        <f t="shared" si="6"/>
        <v>3.4666666670000001</v>
      </c>
      <c r="AI16" s="251"/>
      <c r="AJ16" s="93"/>
      <c r="AK16" s="374"/>
      <c r="AL16" s="374"/>
      <c r="AM16" s="374"/>
      <c r="AN16" s="93"/>
    </row>
    <row r="17" spans="1:40">
      <c r="A17" s="335" t="s">
        <v>1710</v>
      </c>
      <c r="B17" s="354">
        <v>6060</v>
      </c>
      <c r="C17" s="355"/>
      <c r="L17" s="279"/>
      <c r="T17" s="279"/>
      <c r="V17" s="106" t="s">
        <v>1518</v>
      </c>
      <c r="W17" s="106">
        <f>IF(W4=0,0,W16/W4)</f>
        <v>0.66666666666666663</v>
      </c>
      <c r="X17" s="329">
        <v>0.43333333299999999</v>
      </c>
      <c r="Y17" s="329"/>
      <c r="Z17" s="329"/>
      <c r="AA17" s="329"/>
      <c r="AB17" s="329"/>
      <c r="AC17" s="329"/>
      <c r="AD17" s="329"/>
      <c r="AE17" s="329"/>
      <c r="AF17" s="329"/>
      <c r="AG17" s="329"/>
      <c r="AH17" s="328">
        <f t="shared" si="6"/>
        <v>0.43333333299999999</v>
      </c>
      <c r="AI17" s="251"/>
      <c r="AJ17" s="93"/>
      <c r="AK17" s="374"/>
      <c r="AL17" s="374"/>
      <c r="AM17" s="374"/>
      <c r="AN17" s="93"/>
    </row>
    <row r="18" spans="1:40">
      <c r="A18" s="335" t="s">
        <v>1711</v>
      </c>
      <c r="B18" s="354">
        <v>1</v>
      </c>
      <c r="C18" s="355"/>
      <c r="L18" s="279"/>
      <c r="T18" s="279"/>
      <c r="V18" s="106" t="s">
        <v>1525</v>
      </c>
      <c r="W18" s="106">
        <f>W17*1.15</f>
        <v>0.76666666666666661</v>
      </c>
      <c r="X18" s="329">
        <v>0.49833333299999999</v>
      </c>
      <c r="Y18" s="329"/>
      <c r="Z18" s="329"/>
      <c r="AA18" s="329"/>
      <c r="AB18" s="329"/>
      <c r="AC18" s="329"/>
      <c r="AD18" s="329"/>
      <c r="AE18" s="329"/>
      <c r="AF18" s="329"/>
      <c r="AG18" s="329"/>
      <c r="AH18" s="328">
        <f>SUM(X18:AG18)</f>
        <v>0.49833333299999999</v>
      </c>
      <c r="AI18" s="373"/>
      <c r="AJ18" s="161"/>
      <c r="AK18" s="162"/>
      <c r="AL18" s="162"/>
      <c r="AM18" s="162"/>
      <c r="AN18" s="161"/>
    </row>
    <row r="19" spans="1:40">
      <c r="A19" s="335" t="s">
        <v>1712</v>
      </c>
      <c r="B19" s="354">
        <v>2</v>
      </c>
      <c r="C19" s="355"/>
      <c r="L19" s="279"/>
      <c r="T19" s="279"/>
    </row>
    <row r="20" spans="1:40">
      <c r="A20" s="335" t="s">
        <v>1713</v>
      </c>
      <c r="B20" s="354">
        <v>3</v>
      </c>
      <c r="C20" s="355"/>
      <c r="L20" s="279"/>
      <c r="T20" s="279"/>
    </row>
    <row r="21" spans="1:40">
      <c r="A21" s="335" t="s">
        <v>1714</v>
      </c>
      <c r="B21" s="354"/>
      <c r="C21" s="355"/>
    </row>
    <row r="22" spans="1:40">
      <c r="A22" s="335" t="s">
        <v>1714</v>
      </c>
      <c r="B22" s="354"/>
      <c r="C22" s="355"/>
    </row>
    <row r="23" spans="1:40">
      <c r="A23" s="335"/>
      <c r="B23" s="354"/>
      <c r="C23" s="355"/>
    </row>
    <row r="24" spans="1:40">
      <c r="A24" s="353" t="s">
        <v>1715</v>
      </c>
      <c r="B24" s="358" t="s">
        <v>1716</v>
      </c>
      <c r="C24" s="358" t="s">
        <v>1717</v>
      </c>
    </row>
    <row r="25" spans="1:40">
      <c r="A25" s="335" t="s">
        <v>1718</v>
      </c>
      <c r="B25" s="354">
        <f>IF(OR($C$50="",$C$47="",$B$12=""),"",IF(TRIM($B$8)="",ROUND(($C$50-$B$12)/$C$47,0),IF(UPPER(TRIM($B$8))="EG",ROUND((($C$50-$B$12-$C$48)/$C$47)+1,0),IF(UPPER(TRIM($B$8))="2EB",ROUND((($C$50-$B$12-(2*$C$48))/$C$47)+2,0),""))))</f>
        <v>25</v>
      </c>
      <c r="C25" s="359">
        <f>B25*$B$6</f>
        <v>100</v>
      </c>
    </row>
    <row r="26" spans="1:40">
      <c r="A26" s="335" t="s">
        <v>1719</v>
      </c>
      <c r="B26" s="354">
        <f>IF(OR($C$49="",$B$6=""),"",ROUND(($C$49/$B$6)-(2*$B$18),3))</f>
        <v>594.9</v>
      </c>
      <c r="C26" s="359">
        <f>B26</f>
        <v>594.9</v>
      </c>
    </row>
    <row r="27" spans="1:40">
      <c r="A27" s="335" t="s">
        <v>1720</v>
      </c>
      <c r="B27" s="354">
        <f>$C$46</f>
        <v>94.416666666666671</v>
      </c>
      <c r="C27" s="359">
        <f>B27</f>
        <v>94.416666666666671</v>
      </c>
    </row>
    <row r="28" spans="1:40">
      <c r="A28" s="335" t="s">
        <v>1721</v>
      </c>
      <c r="B28" s="360">
        <f>$C$47</f>
        <v>94.416666666666671</v>
      </c>
      <c r="C28" s="379">
        <f>B28</f>
        <v>94.416666666666671</v>
      </c>
    </row>
    <row r="29" spans="1:40">
      <c r="A29" s="335" t="s">
        <v>1722</v>
      </c>
      <c r="B29" s="361">
        <f>ROUND($C$48,10)</f>
        <v>94.416666666699996</v>
      </c>
      <c r="C29" s="362">
        <f>B29</f>
        <v>94.416666666699996</v>
      </c>
      <c r="E29" s="367"/>
      <c r="F29" s="367"/>
      <c r="G29" s="367"/>
      <c r="H29" s="367"/>
      <c r="I29" s="367"/>
      <c r="J29" s="368"/>
      <c r="L29" s="1"/>
      <c r="M29" s="1"/>
      <c r="N29" s="1"/>
      <c r="O29" s="1"/>
      <c r="P29" s="1"/>
      <c r="Q29" s="1"/>
      <c r="V29" s="4"/>
      <c r="Y29" s="323"/>
      <c r="Z29" s="323"/>
      <c r="AA29" s="323"/>
      <c r="AB29" s="323"/>
      <c r="AC29" s="323"/>
      <c r="AD29" s="323"/>
      <c r="AE29" s="323"/>
      <c r="AF29" s="323"/>
      <c r="AG29" s="323"/>
    </row>
    <row r="30" spans="1:40">
      <c r="A30" s="335" t="s">
        <v>1723</v>
      </c>
      <c r="B30" s="354">
        <f>IF($B$19="","",$B$19)</f>
        <v>2</v>
      </c>
      <c r="C30" s="359">
        <f>IF(B30="","",B30*$B$6)</f>
        <v>8</v>
      </c>
      <c r="E30" s="367"/>
      <c r="F30" s="367"/>
      <c r="G30" s="367"/>
      <c r="H30" s="367"/>
      <c r="I30" s="367"/>
      <c r="J30" s="368"/>
      <c r="L30" s="1"/>
      <c r="M30" s="1"/>
      <c r="N30" s="1"/>
      <c r="O30" s="1"/>
      <c r="P30" s="1"/>
      <c r="Q30" s="1"/>
      <c r="Y30" s="323"/>
      <c r="Z30" s="323"/>
      <c r="AA30" s="323"/>
      <c r="AB30" s="323"/>
      <c r="AC30" s="323"/>
      <c r="AD30" s="323"/>
      <c r="AE30" s="323"/>
      <c r="AF30" s="323"/>
      <c r="AG30" s="323"/>
    </row>
    <row r="31" spans="1:40">
      <c r="A31" s="335" t="s">
        <v>1724</v>
      </c>
      <c r="B31" s="360">
        <f>$C$50</f>
        <v>2387.6</v>
      </c>
      <c r="C31" s="363">
        <f>B31</f>
        <v>2387.6</v>
      </c>
      <c r="E31" s="16"/>
      <c r="F31" s="16"/>
      <c r="G31" s="16"/>
      <c r="H31" s="16"/>
      <c r="I31" s="16"/>
      <c r="J31" s="369"/>
      <c r="L31" s="1"/>
      <c r="M31" s="1"/>
      <c r="N31" s="1"/>
      <c r="O31" s="1"/>
      <c r="P31" s="1"/>
      <c r="Q31" s="1"/>
      <c r="Y31" s="323"/>
      <c r="Z31" s="323"/>
      <c r="AA31" s="323"/>
      <c r="AB31" s="323"/>
      <c r="AC31" s="323"/>
      <c r="AD31" s="323"/>
      <c r="AE31" s="323"/>
      <c r="AF31" s="323"/>
      <c r="AG31" s="323"/>
    </row>
    <row r="32" spans="1:40">
      <c r="A32" s="335" t="s">
        <v>1725</v>
      </c>
      <c r="B32" s="354" t="str">
        <f>IF($B$6=1,$C$53,"")</f>
        <v/>
      </c>
      <c r="C32" s="359">
        <f>$C$53</f>
        <v>2</v>
      </c>
      <c r="E32" s="370"/>
      <c r="F32" s="370"/>
      <c r="G32" s="370"/>
      <c r="H32" s="370"/>
      <c r="I32" s="370"/>
      <c r="J32" s="370"/>
      <c r="L32" s="1"/>
      <c r="M32" s="1"/>
      <c r="N32" s="1"/>
      <c r="O32" s="1"/>
      <c r="P32" s="1"/>
      <c r="Q32" s="1"/>
      <c r="Y32" s="323"/>
      <c r="Z32" s="323"/>
      <c r="AA32" s="323"/>
      <c r="AB32" s="323"/>
      <c r="AC32" s="323"/>
      <c r="AD32" s="323"/>
      <c r="AE32" s="323"/>
      <c r="AF32" s="323"/>
      <c r="AG32" s="323"/>
    </row>
    <row r="33" spans="1:33">
      <c r="A33" s="335" t="s">
        <v>1726</v>
      </c>
      <c r="B33" s="354" t="str">
        <f>IF($B$6=1,$C$51,"")</f>
        <v/>
      </c>
      <c r="C33" s="359">
        <f>$C$51</f>
        <v>2438.4</v>
      </c>
      <c r="E33" s="367"/>
      <c r="F33" s="367"/>
      <c r="G33" s="367"/>
      <c r="H33" s="367"/>
      <c r="I33" s="367"/>
      <c r="J33" s="371"/>
      <c r="L33" s="1"/>
      <c r="M33" s="1"/>
      <c r="N33" s="1"/>
      <c r="O33" s="1"/>
      <c r="P33" s="1"/>
      <c r="Q33" s="1"/>
      <c r="Y33" s="323"/>
      <c r="Z33" s="323"/>
      <c r="AA33" s="323"/>
      <c r="AB33" s="323"/>
      <c r="AC33" s="323"/>
      <c r="AD33" s="323"/>
      <c r="AE33" s="323"/>
      <c r="AF33" s="323"/>
      <c r="AG33" s="323"/>
    </row>
    <row r="34" spans="1:33">
      <c r="A34" s="335" t="s">
        <v>1727</v>
      </c>
      <c r="B34" s="354" t="str">
        <f>IF($B$6=1,$C$54,"")</f>
        <v/>
      </c>
      <c r="C34" s="359">
        <f>$C$54</f>
        <v>2</v>
      </c>
      <c r="E34" s="367"/>
      <c r="F34" s="367"/>
      <c r="G34" s="367"/>
      <c r="H34" s="367"/>
      <c r="I34" s="367"/>
      <c r="J34" s="371"/>
      <c r="L34" s="1"/>
      <c r="M34" s="1"/>
      <c r="N34" s="1"/>
      <c r="O34" s="1"/>
      <c r="P34" s="1"/>
      <c r="Q34" s="1"/>
      <c r="Y34" s="323"/>
      <c r="Z34" s="323"/>
      <c r="AA34" s="323"/>
      <c r="AB34" s="323"/>
      <c r="AC34" s="323"/>
      <c r="AD34" s="323"/>
      <c r="AE34" s="323"/>
      <c r="AF34" s="323"/>
      <c r="AG34" s="323"/>
    </row>
    <row r="35" spans="1:33">
      <c r="A35" s="335" t="s">
        <v>1728</v>
      </c>
      <c r="B35" s="354" t="str">
        <f>IF($B$6=1,$C$52,"")</f>
        <v/>
      </c>
      <c r="C35" s="359">
        <f>$C$52</f>
        <v>2387.6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3"/>
      <c r="Z35" s="323"/>
      <c r="AA35" s="323"/>
      <c r="AB35" s="323"/>
      <c r="AC35" s="323"/>
      <c r="AD35" s="323"/>
      <c r="AE35" s="323"/>
      <c r="AF35" s="323"/>
      <c r="AG35" s="323"/>
    </row>
    <row r="36" spans="1:33">
      <c r="A36" s="335" t="s">
        <v>1729</v>
      </c>
      <c r="B36" s="354" t="str">
        <f>IF($B$6=1,$C$55,"")</f>
        <v/>
      </c>
      <c r="C36" s="359">
        <f>$C$55</f>
        <v>3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3"/>
      <c r="Z36" s="323"/>
      <c r="AA36" s="323"/>
      <c r="AB36" s="323"/>
      <c r="AC36" s="323"/>
      <c r="AD36" s="323"/>
      <c r="AE36" s="323"/>
      <c r="AF36" s="323"/>
      <c r="AG36" s="323"/>
    </row>
    <row r="37" spans="1:33">
      <c r="A37" s="335" t="s">
        <v>1730</v>
      </c>
      <c r="B37" s="354" t="str">
        <f>IF($B$6=1,$C$56,"")</f>
        <v/>
      </c>
      <c r="C37" s="359">
        <f>$C$56</f>
        <v>2387.6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3"/>
      <c r="Z37" s="323"/>
      <c r="AA37" s="323"/>
      <c r="AB37" s="323"/>
      <c r="AC37" s="323"/>
      <c r="AD37" s="323"/>
      <c r="AE37" s="323"/>
      <c r="AF37" s="323"/>
      <c r="AG37" s="323"/>
    </row>
    <row r="38" spans="1:33">
      <c r="A38" s="335" t="s">
        <v>1731</v>
      </c>
      <c r="B38" s="354">
        <f>IF(OR($B$3="",$B$6="",$C$57=""),"",ROUND($C$57/($B$3*$B$6),3))</f>
        <v>2.5</v>
      </c>
      <c r="C38" s="359">
        <f>$C$57</f>
        <v>10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3"/>
      <c r="Z38" s="323"/>
      <c r="AA38" s="323"/>
      <c r="AB38" s="323"/>
      <c r="AC38" s="323"/>
      <c r="AD38" s="323"/>
      <c r="AE38" s="323"/>
      <c r="AF38" s="323"/>
      <c r="AG38" s="323"/>
    </row>
    <row r="39" spans="1:33">
      <c r="A39" s="335" t="s">
        <v>1732</v>
      </c>
      <c r="B39" s="354">
        <f>IF(OR($B$3="",$B$6="",$C$58=""),"",ROUND($C$58/($B$3*$B$6),3))</f>
        <v>1</v>
      </c>
      <c r="C39" s="359">
        <f>$C$58</f>
        <v>4</v>
      </c>
      <c r="I39" s="1"/>
      <c r="P39" s="1"/>
      <c r="Y39" s="323"/>
      <c r="Z39" s="323"/>
      <c r="AA39" s="323"/>
      <c r="AB39" s="323"/>
      <c r="AC39" s="323"/>
      <c r="AD39" s="323"/>
      <c r="AE39" s="323"/>
      <c r="AF39" s="323"/>
      <c r="AG39" s="323"/>
    </row>
    <row r="40" spans="1:33">
      <c r="A40" s="335" t="s">
        <v>1733</v>
      </c>
      <c r="B40" s="354">
        <f>IF(OR($B$3="",$B$6="",$C$61=""),"",ROUND($C$61/($B$3*$B$6),3))</f>
        <v>0.75</v>
      </c>
      <c r="C40" s="359">
        <f>$C$61</f>
        <v>3</v>
      </c>
      <c r="I40" s="1"/>
      <c r="P40" s="1"/>
      <c r="V40" s="1"/>
      <c r="Y40" s="323"/>
      <c r="Z40" s="323"/>
      <c r="AA40" s="323"/>
      <c r="AB40" s="323"/>
      <c r="AC40" s="323"/>
      <c r="AD40" s="323"/>
      <c r="AE40" s="323"/>
      <c r="AF40" s="323"/>
      <c r="AG40" s="323"/>
    </row>
    <row r="41" spans="1:33">
      <c r="A41" s="335" t="s">
        <v>1714</v>
      </c>
      <c r="B41" s="354"/>
      <c r="C41" s="359"/>
      <c r="I41" s="1"/>
      <c r="P41" s="1"/>
      <c r="Y41" s="323"/>
      <c r="Z41" s="323"/>
      <c r="AA41" s="323"/>
      <c r="AB41" s="323"/>
      <c r="AC41" s="323"/>
      <c r="AD41" s="323"/>
      <c r="AE41" s="323"/>
      <c r="AF41" s="323"/>
      <c r="AG41" s="323"/>
    </row>
    <row r="42" spans="1:33">
      <c r="A42" s="335" t="s">
        <v>1714</v>
      </c>
      <c r="B42" s="354"/>
      <c r="C42" s="359"/>
      <c r="F42" s="1"/>
      <c r="G42" s="1"/>
      <c r="H42" s="1"/>
      <c r="I42" s="1"/>
      <c r="J42" s="1"/>
      <c r="M42" s="1"/>
      <c r="N42" s="1"/>
      <c r="O42" s="1"/>
      <c r="P42" s="1"/>
      <c r="Q42" s="1"/>
      <c r="Y42" s="323"/>
      <c r="Z42" s="323"/>
      <c r="AA42" s="323"/>
      <c r="AB42" s="323"/>
      <c r="AC42" s="323"/>
      <c r="AD42" s="323"/>
      <c r="AE42" s="323"/>
      <c r="AF42" s="323"/>
      <c r="AG42" s="323"/>
    </row>
    <row r="43" spans="1:33">
      <c r="A43" s="335" t="s">
        <v>1714</v>
      </c>
      <c r="B43" s="354"/>
      <c r="C43" s="359"/>
      <c r="Y43" s="323"/>
      <c r="Z43" s="323"/>
      <c r="AA43" s="323"/>
      <c r="AB43" s="323"/>
      <c r="AC43" s="323"/>
      <c r="AD43" s="323"/>
      <c r="AE43" s="323"/>
      <c r="AF43" s="323"/>
      <c r="AG43" s="323"/>
    </row>
    <row r="44" spans="1:33">
      <c r="A44" s="335"/>
      <c r="B44" s="359"/>
      <c r="C44" s="359"/>
      <c r="Y44" s="323"/>
      <c r="Z44" s="323"/>
      <c r="AA44" s="323"/>
      <c r="AB44" s="323"/>
      <c r="AC44" s="323"/>
      <c r="AD44" s="323"/>
      <c r="AE44" s="323"/>
      <c r="AF44" s="323"/>
      <c r="AG44" s="323"/>
    </row>
    <row r="45" spans="1:33">
      <c r="A45" s="353" t="s">
        <v>1734</v>
      </c>
      <c r="B45" s="353" t="s">
        <v>423</v>
      </c>
      <c r="C45" s="353" t="s">
        <v>1735</v>
      </c>
      <c r="Y45" s="323"/>
      <c r="Z45" s="323"/>
      <c r="AA45" s="323"/>
      <c r="AB45" s="323"/>
      <c r="AC45" s="323"/>
      <c r="AD45" s="323"/>
      <c r="AE45" s="323"/>
      <c r="AF45" s="323"/>
      <c r="AG45" s="323"/>
    </row>
    <row r="46" spans="1:33">
      <c r="A46" s="335" t="s">
        <v>1736</v>
      </c>
      <c r="B46" s="364" t="str">
        <f t="shared" ref="B46:B61" ca="1" si="8">_xlfn.FORMULATEXT(C46)</f>
        <v>=IFERROR(($C$50-$B$10)/(MAX(2,ROUND((($C$50-$B$10)/MAX(0.001,$B$10-$B$12))+1,0))-1),"")</v>
      </c>
      <c r="C46" s="334">
        <f>IFERROR(($C$50-$B$10)/(MAX(2,ROUND((($C$50-$B$10)/MAX(0.001,$B$10-$B$12))+1,0))-1),"")</f>
        <v>94.416666666666671</v>
      </c>
    </row>
    <row r="47" spans="1:33">
      <c r="A47" s="335" t="s">
        <v>1737</v>
      </c>
      <c r="B47" s="364" t="str">
        <f t="shared" ca="1" si="8"/>
        <v>=IF(OR(TRIM($B$7)="",TRIM($B$8)=""),$C$46,$B$7)</v>
      </c>
      <c r="C47" s="334">
        <f>IF(OR(TRIM($B$7)="",TRIM($B$8)=""),$C$46,$B$7)</f>
        <v>94.416666666666671</v>
      </c>
    </row>
    <row r="48" spans="1:33">
      <c r="A48" s="335" t="s">
        <v>1738</v>
      </c>
      <c r="B48" s="364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3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94.416666666699996</v>
      </c>
    </row>
    <row r="49" spans="1:3">
      <c r="A49" s="335" t="s">
        <v>1739</v>
      </c>
      <c r="B49" s="364" t="str">
        <f t="shared" ca="1" si="8"/>
        <v>=IF(OR($B$4="",$B$16=""),"",ROUND($B$4-(2*$B$16),3))</v>
      </c>
      <c r="C49" s="334">
        <f>IF(OR($B$4="",$B$16=""),"",ROUND($B$4-(2*$B$16),3))</f>
        <v>2387.6</v>
      </c>
    </row>
    <row r="50" spans="1:3">
      <c r="A50" s="365" t="s">
        <v>1740</v>
      </c>
      <c r="B50" s="364" t="str">
        <f t="shared" ca="1" si="8"/>
        <v>=IF(OR($B$5="",$B$15=""),"",ROUND($B$5-(2*$B$15),3))</v>
      </c>
      <c r="C50" s="334">
        <f>IF(OR($B$5="",$B$15=""),"",ROUND($B$5-(2*$B$15),3))</f>
        <v>2387.6</v>
      </c>
    </row>
    <row r="51" spans="1:3">
      <c r="A51" s="335" t="s">
        <v>1741</v>
      </c>
      <c r="B51" s="364" t="str">
        <f t="shared" ca="1" si="8"/>
        <v>=IF(UPPER(LEFT(TRIM($B$9),8))="VERTICAL",ROUND($B$5,3),ROUND($B$5-(2*$B$15),3))</v>
      </c>
      <c r="C51" s="334">
        <f>IF(UPPER(LEFT(TRIM($B$9),8))="VERTICAL",ROUND($B$5,3),ROUND($B$5-(2*$B$15),3))</f>
        <v>2438.4</v>
      </c>
    </row>
    <row r="52" spans="1:3">
      <c r="A52" s="335" t="s">
        <v>1742</v>
      </c>
      <c r="B52" s="364" t="str">
        <f t="shared" ca="1" si="8"/>
        <v>=IF(UPPER(LEFT(TRIM($B$9),8))="VERTICAL",ROUND($B$4-(2*$B$16),3),ROUND($B$4,3))</v>
      </c>
      <c r="C52" s="334">
        <f>IF(UPPER(LEFT(TRIM($B$9),8))="VERTICAL",ROUND($B$4-(2*$B$16),3),ROUND($B$4,3))</f>
        <v>2387.6</v>
      </c>
    </row>
    <row r="53" spans="1:3">
      <c r="A53" s="335" t="s">
        <v>1743</v>
      </c>
      <c r="B53" s="364" t="str">
        <f t="shared" ca="1" si="8"/>
        <v>=2</v>
      </c>
      <c r="C53" s="334">
        <f>2</f>
        <v>2</v>
      </c>
    </row>
    <row r="54" spans="1:3">
      <c r="A54" s="335" t="s">
        <v>1744</v>
      </c>
      <c r="B54" s="364" t="str">
        <f t="shared" ca="1" si="8"/>
        <v>=2</v>
      </c>
      <c r="C54" s="334">
        <f>2</f>
        <v>2</v>
      </c>
    </row>
    <row r="55" spans="1:3">
      <c r="A55" s="335" t="s">
        <v>1745</v>
      </c>
      <c r="B55" s="364" t="str">
        <f t="shared" ca="1" si="8"/>
        <v>=MAX($B$6-1,0)</v>
      </c>
      <c r="C55" s="334">
        <f>MAX($B$6-1,0)</f>
        <v>3</v>
      </c>
    </row>
    <row r="56" spans="1:3">
      <c r="A56" s="335" t="s">
        <v>1746</v>
      </c>
      <c r="B56" s="364" t="str">
        <f t="shared" ca="1" si="8"/>
        <v>=$C$50</v>
      </c>
      <c r="C56" s="334">
        <f>$C$50</f>
        <v>2387.6</v>
      </c>
    </row>
    <row r="57" spans="1:3">
      <c r="A57" s="335" t="s">
        <v>1747</v>
      </c>
      <c r="B57" s="364" t="str">
        <f t="shared" ca="1" si="8"/>
        <v>=IF(OR($C$25="",$B$26="",$B$17=""),"",ROUNDUP(($C$25*$B$3)/INT(($B$17+$B$20)/($B$26+$B$20)),0))</v>
      </c>
      <c r="C57" s="334">
        <f>IF(OR($C$25="",$B$26="",$B$17=""),"",ROUNDUP(($C$25*$B$3)/INT(($B$17+$B$20)/($B$26+$B$20)),0))</f>
        <v>10</v>
      </c>
    </row>
    <row r="58" spans="1:3" ht="15" customHeight="1">
      <c r="A58" s="335" t="s">
        <v>1748</v>
      </c>
      <c r="B58" s="364" t="str">
        <f t="shared" ca="1" si="8"/>
        <v>=IF(OR($C$30="",$B$31="",$B$17=""),"",ROUNDUP(($C$30*$B$3)/INT(($B$17+$B$20)/($B$31+$B$20)),0))</v>
      </c>
      <c r="C58" s="334">
        <f>IF(OR($C$30="",$B$31="",$B$17=""),"",ROUNDUP(($C$30*$B$3)/INT(($B$17+$B$20)/($B$31+$B$20)),0))</f>
        <v>4</v>
      </c>
    </row>
    <row r="59" spans="1:3" ht="15" customHeight="1">
      <c r="A59" s="335" t="s">
        <v>1749</v>
      </c>
      <c r="B59" s="364" t="str">
        <f t="shared" ca="1" si="8"/>
        <v>=IF($B$17="","",CEILING((((($C$53*$C$51)+($C$54*$C$52))*$B$3)+MAX((($C$53+$C$54)*$B$3)-1,0)*$B$20)/$B$17,1))</v>
      </c>
      <c r="C59" s="334">
        <f>IF($B$17="","",CEILING((((($C$53*$C$51)+($C$54*$C$52))*$B$3)+MAX((($C$53+$C$54)*$B$3)-1,0)*$B$20)/$B$17,1))</f>
        <v>2</v>
      </c>
    </row>
    <row r="60" spans="1:3">
      <c r="A60" s="335" t="s">
        <v>1750</v>
      </c>
      <c r="B60" s="364" t="str">
        <f t="shared" ca="1" si="8"/>
        <v>=IF($C$55=0,0,ROUNDUP(($C$55*$B$3)/INT(($B$17+$B$20)/($C$56+$B$20)),0))</v>
      </c>
      <c r="C60" s="334">
        <f>IF($C$55=0,0,ROUNDUP(($C$55*$B$3)/INT(($B$17+$B$20)/($C$56+$B$20)),0))</f>
        <v>2</v>
      </c>
    </row>
    <row r="61" spans="1:3">
      <c r="A61" s="335" t="s">
        <v>1733</v>
      </c>
      <c r="B61" s="364" t="str">
        <f t="shared" ca="1" si="8"/>
        <v>=IF($B$17="","",CEILING((((((($C$53*$C$51)+($C$54*$C$52)+($C$55*$C$56))*$B$3)+MAX((($C$53+$C$54+$C$55)*$B$3)-1,0)*$B$20)/$B$17)),1))</v>
      </c>
      <c r="C61" s="334">
        <f>IF($B$17="","",CEILING((((((($C$53*$C$51)+($C$54*$C$52)+($C$55*$C$56))*$B$3)+MAX((($C$53+$C$54+$C$55)*$B$3)-1,0)*$B$20)/$B$17)),1))</f>
        <v>3</v>
      </c>
    </row>
    <row r="62" spans="1:3">
      <c r="A62" s="366"/>
      <c r="B62" s="366"/>
      <c r="C62" s="366"/>
    </row>
    <row r="63" spans="1:3">
      <c r="A63" s="366"/>
      <c r="B63" s="366"/>
      <c r="C63" s="366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>
      <c r="A1" s="450" t="s">
        <v>1532</v>
      </c>
      <c r="B1" s="436"/>
      <c r="C1" s="436"/>
      <c r="D1" s="436"/>
      <c r="E1" s="436"/>
      <c r="F1" s="436"/>
      <c r="G1" s="436"/>
      <c r="H1" s="436"/>
      <c r="I1" s="436"/>
      <c r="K1" s="451" t="s">
        <v>1533</v>
      </c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  <c r="X1" s="452"/>
      <c r="Y1" s="452"/>
      <c r="Z1" s="452"/>
      <c r="AA1" s="452"/>
      <c r="AB1" s="452"/>
      <c r="AC1" s="452"/>
      <c r="AD1" s="452"/>
      <c r="AG1" s="283" t="s">
        <v>1537</v>
      </c>
      <c r="BC1" s="1"/>
    </row>
    <row r="2" spans="1:55" ht="15" customHeight="1">
      <c r="A2" s="453" t="s">
        <v>1534</v>
      </c>
      <c r="B2" s="436"/>
      <c r="C2" s="436"/>
      <c r="D2" s="436"/>
      <c r="E2" s="436"/>
      <c r="F2" s="436"/>
      <c r="G2" s="436"/>
      <c r="H2" s="436"/>
      <c r="I2" s="436"/>
      <c r="K2" s="280">
        <v>1</v>
      </c>
      <c r="L2" s="280">
        <v>2</v>
      </c>
      <c r="M2" s="280">
        <v>3</v>
      </c>
      <c r="N2" s="280">
        <v>4</v>
      </c>
      <c r="O2" s="280">
        <v>5</v>
      </c>
      <c r="P2" s="280">
        <v>6</v>
      </c>
      <c r="Q2" s="280">
        <v>7</v>
      </c>
      <c r="R2" s="280">
        <v>8</v>
      </c>
      <c r="S2" s="280">
        <v>9</v>
      </c>
      <c r="T2" s="280">
        <v>10</v>
      </c>
      <c r="U2" s="280">
        <v>11</v>
      </c>
      <c r="V2" s="280">
        <v>12</v>
      </c>
      <c r="W2" s="280">
        <v>13</v>
      </c>
      <c r="X2" s="280">
        <v>14</v>
      </c>
      <c r="Y2" s="280">
        <v>15</v>
      </c>
      <c r="Z2" s="280">
        <v>16</v>
      </c>
      <c r="AA2" s="280">
        <v>17</v>
      </c>
      <c r="AB2" s="280">
        <v>18</v>
      </c>
      <c r="AC2" s="280">
        <v>19</v>
      </c>
      <c r="AD2" s="280">
        <v>20</v>
      </c>
      <c r="AG2" s="1"/>
      <c r="BC2" s="1"/>
    </row>
    <row r="3" spans="1:55" ht="15" customHeight="1">
      <c r="C3" s="4"/>
      <c r="K3" s="281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1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1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1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1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1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1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1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1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1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1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1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1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1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1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1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1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1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1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1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1" t="s">
        <v>1567</v>
      </c>
      <c r="AH3" s="311" t="s">
        <v>1568</v>
      </c>
      <c r="AI3" s="311" t="s">
        <v>1569</v>
      </c>
      <c r="AJ3" s="311" t="s">
        <v>1570</v>
      </c>
      <c r="AK3" s="312" t="s">
        <v>1571</v>
      </c>
      <c r="AL3" s="286" t="s">
        <v>1627</v>
      </c>
      <c r="AM3" s="317" t="s">
        <v>1624</v>
      </c>
      <c r="AN3" s="313" t="s">
        <v>1625</v>
      </c>
      <c r="BC3" s="1"/>
    </row>
    <row r="4" spans="1:55" ht="15" customHeight="1">
      <c r="A4" s="445" t="s">
        <v>1535</v>
      </c>
      <c r="B4" s="445"/>
      <c r="C4" s="300"/>
      <c r="D4" s="179"/>
      <c r="E4" s="445" t="s">
        <v>1536</v>
      </c>
      <c r="F4" s="446"/>
      <c r="G4" s="446"/>
      <c r="H4" s="446"/>
      <c r="I4" s="446"/>
      <c r="J4" s="37" t="s">
        <v>1783</v>
      </c>
      <c r="K4" s="4">
        <v>560</v>
      </c>
      <c r="L4" s="4">
        <v>570</v>
      </c>
      <c r="M4" s="4">
        <v>575</v>
      </c>
      <c r="AG4" s="314" t="s">
        <v>1621</v>
      </c>
      <c r="AH4" s="315">
        <v>45.89</v>
      </c>
      <c r="AI4" s="315">
        <v>23.2</v>
      </c>
      <c r="AJ4" s="315">
        <v>10.36</v>
      </c>
      <c r="AK4" s="316">
        <v>7.2284615384615396</v>
      </c>
      <c r="AL4" s="106">
        <v>42</v>
      </c>
      <c r="AM4" s="318">
        <f>AH4+AI4+AJ4+AK4</f>
        <v>86.678461538461548</v>
      </c>
      <c r="AN4" s="310">
        <f>AH4+AI4</f>
        <v>69.09</v>
      </c>
    </row>
    <row r="5" spans="1:55" ht="15" customHeight="1">
      <c r="A5" s="284" t="s">
        <v>1538</v>
      </c>
      <c r="B5" s="285">
        <v>1820</v>
      </c>
      <c r="C5" s="301"/>
      <c r="D5" s="305"/>
      <c r="E5" s="286" t="s">
        <v>1539</v>
      </c>
      <c r="F5" s="286" t="s">
        <v>1540</v>
      </c>
      <c r="G5" s="286" t="s">
        <v>1541</v>
      </c>
      <c r="H5" s="286" t="s">
        <v>1542</v>
      </c>
      <c r="I5" s="286" t="s">
        <v>1543</v>
      </c>
      <c r="J5" s="382" t="s">
        <v>1784</v>
      </c>
      <c r="K5" s="4">
        <v>2055</v>
      </c>
      <c r="L5" s="4">
        <v>2055</v>
      </c>
      <c r="M5" s="4">
        <v>2055</v>
      </c>
      <c r="AG5" s="314" t="s">
        <v>1617</v>
      </c>
      <c r="AH5" s="315">
        <v>45</v>
      </c>
      <c r="AI5" s="315">
        <v>3.95</v>
      </c>
      <c r="AJ5" s="315">
        <v>10.36</v>
      </c>
      <c r="AK5" s="316">
        <v>7.2284615384615396</v>
      </c>
      <c r="AL5" s="106">
        <v>19.05</v>
      </c>
      <c r="AM5" s="318">
        <f>AH5+AI5+AJ5+AK5</f>
        <v>66.538461538461547</v>
      </c>
      <c r="AN5" s="310">
        <v>69</v>
      </c>
    </row>
    <row r="6" spans="1:55" ht="15" customHeight="1">
      <c r="A6" s="284" t="s">
        <v>1564</v>
      </c>
      <c r="B6" s="285">
        <v>2100</v>
      </c>
      <c r="C6" s="301"/>
      <c r="D6" s="305"/>
      <c r="E6" s="284" t="s">
        <v>1565</v>
      </c>
      <c r="F6" s="298">
        <f>B35</f>
        <v>1</v>
      </c>
      <c r="G6" s="351">
        <f>B40</f>
        <v>1915.3215384615382</v>
      </c>
      <c r="H6" s="351">
        <f>B41</f>
        <v>419.86666666666667</v>
      </c>
      <c r="I6" s="299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3" t="s">
        <v>1785</v>
      </c>
      <c r="K6" s="4"/>
      <c r="L6" s="4"/>
      <c r="M6" s="4"/>
      <c r="AG6" s="314" t="s">
        <v>1622</v>
      </c>
      <c r="AH6" s="315">
        <v>45</v>
      </c>
      <c r="AI6" s="315">
        <v>21.2</v>
      </c>
      <c r="AJ6" s="315">
        <v>10.36</v>
      </c>
      <c r="AK6" s="316">
        <v>7.2284615384615396</v>
      </c>
      <c r="AL6" s="106"/>
      <c r="AM6" s="318">
        <f>AH6+AI6+AJ6+AK6</f>
        <v>83.788461538461547</v>
      </c>
      <c r="AN6" s="310">
        <f>AH6+AI6</f>
        <v>66.2</v>
      </c>
    </row>
    <row r="7" spans="1:55" ht="15" customHeight="1">
      <c r="A7" s="284" t="s">
        <v>1572</v>
      </c>
      <c r="B7" s="292">
        <v>3</v>
      </c>
      <c r="C7" s="301"/>
      <c r="D7" s="305"/>
      <c r="E7" s="284" t="s">
        <v>1573</v>
      </c>
      <c r="F7" s="298">
        <f>B34</f>
        <v>2</v>
      </c>
      <c r="G7" s="351">
        <f>B40</f>
        <v>1915.3215384615382</v>
      </c>
      <c r="H7" s="351">
        <f>B42</f>
        <v>432.56666666666672</v>
      </c>
      <c r="I7" s="299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4" t="s">
        <v>1623</v>
      </c>
      <c r="AH7" s="315">
        <v>45</v>
      </c>
      <c r="AI7" s="315">
        <v>0</v>
      </c>
      <c r="AJ7" s="315">
        <v>10.36</v>
      </c>
      <c r="AK7" s="316">
        <v>7.2284615384615396</v>
      </c>
      <c r="AL7" s="106"/>
      <c r="AM7" s="318">
        <f>AH7+AI7+AJ7+AK7</f>
        <v>62.588461538461537</v>
      </c>
      <c r="AN7" s="310">
        <v>50.8</v>
      </c>
    </row>
    <row r="8" spans="1:55" ht="15" customHeight="1">
      <c r="A8" s="284" t="s">
        <v>1575</v>
      </c>
      <c r="B8" s="292">
        <v>2</v>
      </c>
      <c r="C8" s="301"/>
      <c r="D8" s="305"/>
      <c r="E8" s="282"/>
      <c r="F8" s="304"/>
      <c r="G8" s="381">
        <f>IF(F6+F7=0,"",(G6*F6+G7*F7)/(F6+F7))</f>
        <v>1915.3215384615385</v>
      </c>
      <c r="H8" s="381">
        <f>H6*F6+H7*F7</f>
        <v>1285</v>
      </c>
      <c r="I8" s="282"/>
      <c r="J8" s="154"/>
      <c r="K8" s="287" t="s">
        <v>1528</v>
      </c>
      <c r="L8" s="287" t="s">
        <v>1544</v>
      </c>
      <c r="M8" s="287" t="s">
        <v>1545</v>
      </c>
      <c r="N8" s="287" t="s">
        <v>1546</v>
      </c>
      <c r="O8" s="287" t="s">
        <v>1547</v>
      </c>
      <c r="P8" s="287" t="s">
        <v>1548</v>
      </c>
      <c r="Q8" s="287" t="s">
        <v>1549</v>
      </c>
      <c r="R8" s="287" t="s">
        <v>1550</v>
      </c>
      <c r="S8" s="287" t="s">
        <v>1551</v>
      </c>
      <c r="T8" s="287" t="s">
        <v>1552</v>
      </c>
      <c r="U8" s="287" t="s">
        <v>1553</v>
      </c>
      <c r="V8" s="287" t="s">
        <v>1554</v>
      </c>
      <c r="W8" s="287" t="s">
        <v>1555</v>
      </c>
      <c r="X8" s="287" t="s">
        <v>1556</v>
      </c>
      <c r="Y8" s="287" t="s">
        <v>1557</v>
      </c>
      <c r="Z8" s="287" t="s">
        <v>1558</v>
      </c>
      <c r="AA8" s="287" t="s">
        <v>1559</v>
      </c>
      <c r="AB8" s="287" t="s">
        <v>1560</v>
      </c>
      <c r="AC8" s="287" t="s">
        <v>1561</v>
      </c>
      <c r="AD8" s="287" t="s">
        <v>1562</v>
      </c>
      <c r="AE8" s="287" t="s">
        <v>1563</v>
      </c>
    </row>
    <row r="9" spans="1:55" ht="15" customHeight="1">
      <c r="A9" s="284" t="s">
        <v>1576</v>
      </c>
      <c r="B9" s="292">
        <v>1</v>
      </c>
      <c r="C9" s="301"/>
      <c r="D9" s="305"/>
      <c r="E9" s="445" t="s">
        <v>1577</v>
      </c>
      <c r="F9" s="446"/>
      <c r="G9" s="446"/>
      <c r="H9" s="446"/>
      <c r="I9" s="446"/>
      <c r="K9" s="290">
        <v>1</v>
      </c>
      <c r="L9" s="291" t="s">
        <v>1566</v>
      </c>
      <c r="M9" s="291"/>
      <c r="N9" s="291"/>
      <c r="O9" s="291"/>
      <c r="P9" s="291"/>
      <c r="Q9" s="291"/>
      <c r="R9" s="291"/>
      <c r="S9" s="291"/>
      <c r="T9" s="291"/>
      <c r="U9" s="291"/>
      <c r="V9" s="291" t="s">
        <v>1566</v>
      </c>
      <c r="W9" s="291"/>
      <c r="X9" s="291"/>
      <c r="Y9" s="291"/>
      <c r="Z9" s="291"/>
      <c r="AA9" s="291"/>
      <c r="AB9" s="291"/>
      <c r="AC9" s="291"/>
      <c r="AD9" s="291"/>
      <c r="AE9" s="291"/>
    </row>
    <row r="10" spans="1:55" ht="15" customHeight="1">
      <c r="A10" s="284" t="s">
        <v>1578</v>
      </c>
      <c r="B10" s="293" t="s">
        <v>1621</v>
      </c>
      <c r="C10" s="301"/>
      <c r="D10" s="305"/>
      <c r="E10" s="286" t="s">
        <v>1539</v>
      </c>
      <c r="F10" s="286" t="s">
        <v>1540</v>
      </c>
      <c r="G10" s="286" t="s">
        <v>1458</v>
      </c>
      <c r="H10" s="286" t="s">
        <v>1579</v>
      </c>
      <c r="I10" s="286" t="s">
        <v>1580</v>
      </c>
      <c r="K10" s="290">
        <v>2</v>
      </c>
      <c r="L10" s="291" t="s">
        <v>1574</v>
      </c>
      <c r="M10" s="291" t="s">
        <v>1566</v>
      </c>
      <c r="N10" s="291"/>
      <c r="O10" s="291"/>
      <c r="P10" s="291"/>
      <c r="Q10" s="291"/>
      <c r="R10" s="291"/>
      <c r="S10" s="291"/>
      <c r="T10" s="291"/>
      <c r="U10" s="291"/>
      <c r="V10" s="291" t="s">
        <v>1566</v>
      </c>
      <c r="W10" s="291" t="s">
        <v>1574</v>
      </c>
      <c r="X10" s="291"/>
      <c r="Y10" s="291"/>
      <c r="Z10" s="291"/>
      <c r="AA10" s="291"/>
      <c r="AB10" s="291"/>
      <c r="AC10" s="291"/>
      <c r="AD10" s="291"/>
      <c r="AE10" s="291"/>
    </row>
    <row r="11" spans="1:55" ht="15" customHeight="1">
      <c r="A11" s="284" t="s">
        <v>1611</v>
      </c>
      <c r="B11" s="293" t="s">
        <v>1610</v>
      </c>
      <c r="C11" s="301"/>
      <c r="D11" s="305"/>
      <c r="E11" s="284" t="s">
        <v>1581</v>
      </c>
      <c r="F11" s="298">
        <v>1</v>
      </c>
      <c r="G11" s="351">
        <f>B5</f>
        <v>1820</v>
      </c>
      <c r="H11" s="299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89"/>
      <c r="K11" s="290">
        <v>3</v>
      </c>
      <c r="L11" s="291" t="s">
        <v>1574</v>
      </c>
      <c r="M11" s="291" t="s">
        <v>1566</v>
      </c>
      <c r="N11" s="291" t="s">
        <v>1574</v>
      </c>
      <c r="O11" s="291"/>
      <c r="P11" s="291"/>
      <c r="Q11" s="291"/>
      <c r="R11" s="291"/>
      <c r="S11" s="291"/>
      <c r="T11" s="291"/>
      <c r="U11" s="291"/>
      <c r="V11" s="291" t="s">
        <v>1574</v>
      </c>
      <c r="W11" s="291" t="s">
        <v>1566</v>
      </c>
      <c r="X11" s="291" t="s">
        <v>1574</v>
      </c>
      <c r="Y11" s="291"/>
      <c r="Z11" s="291"/>
      <c r="AA11" s="291"/>
      <c r="AB11" s="291"/>
      <c r="AC11" s="291"/>
      <c r="AD11" s="291"/>
      <c r="AE11" s="291"/>
      <c r="BC11" s="1"/>
    </row>
    <row r="12" spans="1:55" ht="15" customHeight="1">
      <c r="A12" s="284" t="s">
        <v>1628</v>
      </c>
      <c r="B12" s="293" t="s">
        <v>1610</v>
      </c>
      <c r="C12" s="301"/>
      <c r="D12" s="305"/>
      <c r="E12" s="284" t="s">
        <v>1582</v>
      </c>
      <c r="F12" s="298">
        <v>1</v>
      </c>
      <c r="G12" s="351">
        <f>B5</f>
        <v>1820</v>
      </c>
      <c r="H12" s="299" t="str">
        <f t="shared" si="0"/>
        <v>71 10/16</v>
      </c>
      <c r="I12" s="289"/>
      <c r="K12" s="290">
        <v>4</v>
      </c>
      <c r="L12" s="291" t="s">
        <v>1566</v>
      </c>
      <c r="M12" s="291" t="s">
        <v>1574</v>
      </c>
      <c r="N12" s="291" t="s">
        <v>1574</v>
      </c>
      <c r="O12" s="291" t="s">
        <v>1566</v>
      </c>
      <c r="P12" s="291"/>
      <c r="Q12" s="291"/>
      <c r="R12" s="291"/>
      <c r="S12" s="291"/>
      <c r="T12" s="291"/>
      <c r="U12" s="291"/>
      <c r="V12" s="291" t="s">
        <v>1566</v>
      </c>
      <c r="W12" s="291" t="s">
        <v>1574</v>
      </c>
      <c r="X12" s="291" t="s">
        <v>1574</v>
      </c>
      <c r="Y12" s="291" t="s">
        <v>1566</v>
      </c>
      <c r="Z12" s="291"/>
      <c r="AA12" s="291"/>
      <c r="AB12" s="291"/>
      <c r="AC12" s="291"/>
      <c r="AD12" s="291"/>
      <c r="AE12" s="291"/>
      <c r="BC12" s="1"/>
    </row>
    <row r="13" spans="1:55" ht="15" customHeight="1">
      <c r="A13" s="294" t="s">
        <v>1583</v>
      </c>
      <c r="B13" s="295" t="str">
        <f>IF(B7=B8+B9,"OK","CHECK")</f>
        <v>OK</v>
      </c>
      <c r="C13" s="301"/>
      <c r="D13" s="179"/>
      <c r="E13" s="284" t="s">
        <v>1584</v>
      </c>
      <c r="F13" s="298">
        <v>2</v>
      </c>
      <c r="G13" s="351">
        <f>B38</f>
        <v>2072.91</v>
      </c>
      <c r="H13" s="299" t="str">
        <f t="shared" si="0"/>
        <v>81 10/16</v>
      </c>
      <c r="I13" s="289"/>
      <c r="K13" s="290">
        <v>5</v>
      </c>
      <c r="L13" s="291" t="s">
        <v>1574</v>
      </c>
      <c r="M13" s="291" t="s">
        <v>1566</v>
      </c>
      <c r="N13" s="291" t="s">
        <v>1574</v>
      </c>
      <c r="O13" s="291" t="s">
        <v>1566</v>
      </c>
      <c r="P13" s="291" t="s">
        <v>1574</v>
      </c>
      <c r="Q13" s="291"/>
      <c r="R13" s="291"/>
      <c r="S13" s="291"/>
      <c r="T13" s="291"/>
      <c r="U13" s="291"/>
      <c r="V13" s="291" t="s">
        <v>1574</v>
      </c>
      <c r="W13" s="291" t="s">
        <v>1566</v>
      </c>
      <c r="X13" s="291" t="s">
        <v>1574</v>
      </c>
      <c r="Y13" s="291" t="s">
        <v>1566</v>
      </c>
      <c r="Z13" s="291" t="s">
        <v>1574</v>
      </c>
      <c r="AA13" s="291"/>
      <c r="AB13" s="291"/>
      <c r="AC13" s="291"/>
      <c r="AD13" s="291"/>
      <c r="AE13" s="291"/>
      <c r="BC13" s="1"/>
    </row>
    <row r="14" spans="1:55" ht="15" customHeight="1">
      <c r="A14" s="282"/>
      <c r="B14" s="282"/>
      <c r="C14" s="302"/>
      <c r="D14" s="305"/>
      <c r="E14" s="284" t="s">
        <v>1585</v>
      </c>
      <c r="F14" s="298">
        <f>B7*2</f>
        <v>6</v>
      </c>
      <c r="G14" s="351">
        <f>B39</f>
        <v>2055.3215384615382</v>
      </c>
      <c r="H14" s="299" t="str">
        <f t="shared" si="0"/>
        <v>80 15/16</v>
      </c>
      <c r="I14" s="289"/>
      <c r="K14" s="290">
        <v>6</v>
      </c>
      <c r="L14" s="291" t="s">
        <v>1574</v>
      </c>
      <c r="M14" s="291" t="s">
        <v>1566</v>
      </c>
      <c r="N14" s="291" t="s">
        <v>1574</v>
      </c>
      <c r="O14" s="291" t="s">
        <v>1574</v>
      </c>
      <c r="P14" s="291" t="s">
        <v>1566</v>
      </c>
      <c r="Q14" s="291" t="s">
        <v>1574</v>
      </c>
      <c r="R14" s="291"/>
      <c r="S14" s="291"/>
      <c r="T14" s="291"/>
      <c r="U14" s="291"/>
      <c r="V14" s="291" t="s">
        <v>1574</v>
      </c>
      <c r="W14" s="291" t="s">
        <v>1566</v>
      </c>
      <c r="X14" s="291" t="s">
        <v>1574</v>
      </c>
      <c r="Y14" s="291" t="s">
        <v>1574</v>
      </c>
      <c r="Z14" s="291" t="s">
        <v>1566</v>
      </c>
      <c r="AA14" s="291" t="s">
        <v>1574</v>
      </c>
      <c r="AB14" s="291"/>
      <c r="AC14" s="291"/>
      <c r="AD14" s="291"/>
      <c r="AE14" s="291"/>
      <c r="BC14" s="1"/>
    </row>
    <row r="15" spans="1:55" ht="15" customHeight="1">
      <c r="A15" s="447" t="s">
        <v>1586</v>
      </c>
      <c r="B15" s="448"/>
      <c r="C15" s="302"/>
      <c r="D15" s="179"/>
      <c r="E15" s="284" t="s">
        <v>1587</v>
      </c>
      <c r="F15" s="298">
        <f>B34*2</f>
        <v>4</v>
      </c>
      <c r="G15" s="351">
        <f>B37</f>
        <v>572.56666666666672</v>
      </c>
      <c r="H15" s="299" t="str">
        <f t="shared" si="0"/>
        <v>22 9/16</v>
      </c>
      <c r="I15" s="289" t="s">
        <v>1620</v>
      </c>
      <c r="K15" s="290">
        <v>7</v>
      </c>
      <c r="L15" s="291" t="s">
        <v>1574</v>
      </c>
      <c r="M15" s="291" t="s">
        <v>1566</v>
      </c>
      <c r="N15" s="291" t="s">
        <v>1574</v>
      </c>
      <c r="O15" s="291" t="s">
        <v>1574</v>
      </c>
      <c r="P15" s="291" t="s">
        <v>1566</v>
      </c>
      <c r="Q15" s="291" t="s">
        <v>1574</v>
      </c>
      <c r="R15" s="291" t="s">
        <v>1566</v>
      </c>
      <c r="S15" s="291"/>
      <c r="T15" s="291"/>
      <c r="U15" s="291"/>
      <c r="V15" s="291" t="s">
        <v>1566</v>
      </c>
      <c r="W15" s="291" t="s">
        <v>1574</v>
      </c>
      <c r="X15" s="291" t="s">
        <v>1566</v>
      </c>
      <c r="Y15" s="291" t="s">
        <v>1574</v>
      </c>
      <c r="Z15" s="291" t="s">
        <v>1574</v>
      </c>
      <c r="AA15" s="291" t="s">
        <v>1566</v>
      </c>
      <c r="AB15" s="291" t="s">
        <v>1574</v>
      </c>
      <c r="AC15" s="291"/>
      <c r="AD15" s="291"/>
      <c r="AE15" s="291"/>
      <c r="BC15" s="1"/>
    </row>
    <row r="16" spans="1:55" ht="15" customHeight="1">
      <c r="A16" s="284" t="s">
        <v>1588</v>
      </c>
      <c r="B16" s="296">
        <v>65.56</v>
      </c>
      <c r="C16" s="301"/>
      <c r="D16" s="179"/>
      <c r="E16" s="284" t="s">
        <v>1589</v>
      </c>
      <c r="F16" s="298">
        <f>B35*2</f>
        <v>2</v>
      </c>
      <c r="G16" s="351">
        <f>B36</f>
        <v>559.86666666666667</v>
      </c>
      <c r="H16" s="299" t="str">
        <f t="shared" si="0"/>
        <v>22 1/16</v>
      </c>
      <c r="I16" s="289" t="s">
        <v>1620</v>
      </c>
      <c r="K16" s="290">
        <v>8</v>
      </c>
      <c r="L16" s="291" t="s">
        <v>1566</v>
      </c>
      <c r="M16" s="291" t="s">
        <v>1574</v>
      </c>
      <c r="N16" s="291" t="s">
        <v>1574</v>
      </c>
      <c r="O16" s="291" t="s">
        <v>1566</v>
      </c>
      <c r="P16" s="291" t="s">
        <v>1566</v>
      </c>
      <c r="Q16" s="291" t="s">
        <v>1574</v>
      </c>
      <c r="R16" s="291" t="s">
        <v>1574</v>
      </c>
      <c r="S16" s="291" t="s">
        <v>1566</v>
      </c>
      <c r="T16" s="291"/>
      <c r="U16" s="291"/>
      <c r="V16" s="291" t="s">
        <v>1566</v>
      </c>
      <c r="W16" s="291" t="s">
        <v>1574</v>
      </c>
      <c r="X16" s="291" t="s">
        <v>1574</v>
      </c>
      <c r="Y16" s="291" t="s">
        <v>1566</v>
      </c>
      <c r="Z16" s="291" t="s">
        <v>1566</v>
      </c>
      <c r="AA16" s="291" t="s">
        <v>1574</v>
      </c>
      <c r="AB16" s="291" t="s">
        <v>1574</v>
      </c>
      <c r="AC16" s="291" t="s">
        <v>1566</v>
      </c>
      <c r="AD16" s="291"/>
      <c r="AE16" s="291"/>
      <c r="BC16" s="1"/>
    </row>
    <row r="17" spans="1:55" ht="15" customHeight="1">
      <c r="A17" s="284" t="s">
        <v>1590</v>
      </c>
      <c r="B17" s="285">
        <v>7.05</v>
      </c>
      <c r="C17" s="301"/>
      <c r="D17" s="305"/>
      <c r="E17" s="284" t="s">
        <v>1619</v>
      </c>
      <c r="F17" s="298">
        <f>IF(B11="Yes",2,0)</f>
        <v>2</v>
      </c>
      <c r="G17" s="351">
        <f>B39</f>
        <v>2055.3215384615382</v>
      </c>
      <c r="H17" s="299" t="str">
        <f t="shared" si="0"/>
        <v>80 15/16</v>
      </c>
      <c r="I17" s="289"/>
      <c r="K17" s="290">
        <v>9</v>
      </c>
      <c r="L17" s="291" t="s">
        <v>1574</v>
      </c>
      <c r="M17" s="291" t="s">
        <v>1566</v>
      </c>
      <c r="N17" s="291" t="s">
        <v>1574</v>
      </c>
      <c r="O17" s="291" t="s">
        <v>1566</v>
      </c>
      <c r="P17" s="291" t="s">
        <v>1574</v>
      </c>
      <c r="Q17" s="291" t="s">
        <v>1566</v>
      </c>
      <c r="R17" s="291" t="s">
        <v>1574</v>
      </c>
      <c r="S17" s="291" t="s">
        <v>1566</v>
      </c>
      <c r="T17" s="291" t="s">
        <v>1574</v>
      </c>
      <c r="U17" s="291"/>
      <c r="V17" s="291" t="s">
        <v>1574</v>
      </c>
      <c r="W17" s="291" t="s">
        <v>1566</v>
      </c>
      <c r="X17" s="291" t="s">
        <v>1574</v>
      </c>
      <c r="Y17" s="291" t="s">
        <v>1566</v>
      </c>
      <c r="Z17" s="291" t="s">
        <v>1574</v>
      </c>
      <c r="AA17" s="291" t="s">
        <v>1566</v>
      </c>
      <c r="AB17" s="291" t="s">
        <v>1574</v>
      </c>
      <c r="AC17" s="291" t="s">
        <v>1566</v>
      </c>
      <c r="AD17" s="291" t="s">
        <v>1574</v>
      </c>
      <c r="AE17" s="291"/>
      <c r="BC17" s="1"/>
    </row>
    <row r="18" spans="1:55" ht="15" customHeight="1">
      <c r="A18" s="284" t="s">
        <v>1591</v>
      </c>
      <c r="B18" s="285">
        <v>6.5949999999999998</v>
      </c>
      <c r="C18" s="301"/>
      <c r="D18" s="305"/>
      <c r="H18" s="380" t="s">
        <v>78</v>
      </c>
      <c r="I18" s="384" t="s">
        <v>1787</v>
      </c>
      <c r="K18" s="290">
        <v>10</v>
      </c>
      <c r="L18" s="291" t="s">
        <v>1574</v>
      </c>
      <c r="M18" s="291" t="s">
        <v>1566</v>
      </c>
      <c r="N18" s="291" t="s">
        <v>1574</v>
      </c>
      <c r="O18" s="291" t="s">
        <v>1566</v>
      </c>
      <c r="P18" s="291" t="s">
        <v>1574</v>
      </c>
      <c r="Q18" s="291" t="s">
        <v>1566</v>
      </c>
      <c r="R18" s="291" t="s">
        <v>1574</v>
      </c>
      <c r="S18" s="291" t="s">
        <v>1566</v>
      </c>
      <c r="T18" s="291" t="s">
        <v>1574</v>
      </c>
      <c r="U18" s="291" t="s">
        <v>1566</v>
      </c>
      <c r="V18" s="291" t="s">
        <v>1566</v>
      </c>
      <c r="W18" s="291" t="s">
        <v>1574</v>
      </c>
      <c r="X18" s="291" t="s">
        <v>1566</v>
      </c>
      <c r="Y18" s="291" t="s">
        <v>1574</v>
      </c>
      <c r="Z18" s="291" t="s">
        <v>1566</v>
      </c>
      <c r="AA18" s="291" t="s">
        <v>1574</v>
      </c>
      <c r="AB18" s="291" t="s">
        <v>1566</v>
      </c>
      <c r="AC18" s="291" t="s">
        <v>1574</v>
      </c>
      <c r="AD18" s="291" t="s">
        <v>1566</v>
      </c>
      <c r="AE18" s="291" t="s">
        <v>1574</v>
      </c>
      <c r="BC18" s="1"/>
    </row>
    <row r="19" spans="1:55" ht="15" customHeight="1">
      <c r="A19" s="284" t="s">
        <v>1612</v>
      </c>
      <c r="B19" s="285">
        <v>25.608000000000001</v>
      </c>
      <c r="C19" s="301"/>
      <c r="D19" s="305"/>
      <c r="E19" s="309" t="s">
        <v>1618</v>
      </c>
      <c r="F19" s="10">
        <v>6060</v>
      </c>
      <c r="H19" s="385" t="s">
        <v>1783</v>
      </c>
      <c r="I19" s="384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3"/>
      <c r="BC19" s="1"/>
    </row>
    <row r="20" spans="1:55" ht="15" customHeight="1">
      <c r="A20" s="284" t="s">
        <v>1690</v>
      </c>
      <c r="B20" s="285">
        <v>3.137</v>
      </c>
      <c r="C20" s="301"/>
      <c r="D20" s="305"/>
      <c r="E20" s="308" t="s">
        <v>1616</v>
      </c>
      <c r="F20" s="10" t="s">
        <v>98</v>
      </c>
      <c r="H20" s="306" t="s">
        <v>1784</v>
      </c>
      <c r="I20" s="384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>
      <c r="A21" s="284" t="s">
        <v>1592</v>
      </c>
      <c r="B21" s="285">
        <v>12.7</v>
      </c>
      <c r="C21" s="301"/>
      <c r="D21" s="305"/>
      <c r="E21" s="306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6" t="s">
        <v>1785</v>
      </c>
      <c r="I21" s="384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>
      <c r="A22" s="284" t="s">
        <v>1531</v>
      </c>
      <c r="B22" s="285">
        <v>140</v>
      </c>
      <c r="C22" s="301"/>
      <c r="D22" s="305"/>
      <c r="E22" s="306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5" t="s">
        <v>1786</v>
      </c>
      <c r="I22" s="384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7"/>
    </row>
    <row r="23" spans="1:55" ht="15" customHeight="1">
      <c r="A23" s="284" t="s">
        <v>1626</v>
      </c>
      <c r="B23" s="285"/>
      <c r="C23" s="301"/>
      <c r="D23" s="305"/>
      <c r="E23" s="306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7"/>
    </row>
    <row r="24" spans="1:55" ht="15" customHeight="1">
      <c r="A24" s="284" t="s">
        <v>1626</v>
      </c>
      <c r="B24" s="285"/>
      <c r="C24" s="301"/>
      <c r="D24" s="305"/>
      <c r="E24" s="306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7"/>
    </row>
    <row r="25" spans="1:55" ht="15" customHeight="1">
      <c r="A25" s="282"/>
      <c r="B25" s="282"/>
      <c r="C25" s="302"/>
      <c r="D25" s="179"/>
      <c r="E25" s="306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7"/>
    </row>
    <row r="26" spans="1:55" ht="15" customHeight="1">
      <c r="A26" s="447" t="s">
        <v>1593</v>
      </c>
      <c r="B26" s="448"/>
      <c r="C26" s="449"/>
      <c r="D26" s="179"/>
      <c r="E26" s="307"/>
      <c r="BC26" s="1"/>
    </row>
    <row r="27" spans="1:55" ht="15" customHeight="1">
      <c r="A27" s="284" t="s">
        <v>1606</v>
      </c>
      <c r="B27" s="298">
        <f>$B$7+1</f>
        <v>4</v>
      </c>
      <c r="C27" s="303"/>
      <c r="D27" s="179"/>
      <c r="BC27" s="1"/>
    </row>
    <row r="28" spans="1:55" ht="15" customHeight="1">
      <c r="A28" s="284" t="s">
        <v>1607</v>
      </c>
      <c r="B28" s="298">
        <f>IF($B$8&gt;0,1,0)+IF($B$9&gt;0,1,0)</f>
        <v>2</v>
      </c>
      <c r="C28" s="303"/>
      <c r="D28" s="305"/>
      <c r="BC28" s="1"/>
    </row>
    <row r="29" spans="1:55" ht="15" customHeight="1">
      <c r="A29" s="284" t="s">
        <v>1608</v>
      </c>
      <c r="B29" s="298">
        <f>B27-B28</f>
        <v>2</v>
      </c>
      <c r="C29" s="303"/>
      <c r="D29" s="305"/>
      <c r="BC29" s="1"/>
    </row>
    <row r="30" spans="1:55" ht="15" customHeight="1">
      <c r="A30" s="284" t="s">
        <v>1609</v>
      </c>
      <c r="B30" s="288">
        <f>($B$28*$B$17) + (MAX(0,$B$29-IF($B$11="Yes",1,0))*$B$18)</f>
        <v>20.695</v>
      </c>
      <c r="C30" s="299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5"/>
      <c r="BC30" s="1"/>
    </row>
    <row r="31" spans="1:55" ht="15" customHeight="1">
      <c r="A31" s="284" t="s">
        <v>1594</v>
      </c>
      <c r="B31" s="288">
        <f>IF($B$11="Yes",$B$19,0)</f>
        <v>25.608000000000001</v>
      </c>
      <c r="C31" s="299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5"/>
      <c r="BC31" s="1"/>
    </row>
    <row r="32" spans="1:55" ht="15" customHeight="1">
      <c r="A32" s="284" t="s">
        <v>1595</v>
      </c>
      <c r="B32" s="288">
        <f>$B$16 + B30 + B31+B20</f>
        <v>115</v>
      </c>
      <c r="C32" s="299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5"/>
      <c r="BC32" s="1"/>
    </row>
    <row r="33" spans="1:55" ht="15" customHeight="1">
      <c r="A33" s="284" t="s">
        <v>1596</v>
      </c>
      <c r="B33" s="288">
        <f>$B$5-$B$32</f>
        <v>1705</v>
      </c>
      <c r="C33" s="299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5"/>
      <c r="BC33" s="1"/>
    </row>
    <row r="34" spans="1:55" ht="15" customHeight="1">
      <c r="A34" s="284" t="s">
        <v>1597</v>
      </c>
      <c r="B34" s="298" cm="1">
        <f t="array" ref="B34">SUMPRODUCT(--(RIGHT($K$3:$AD$3,1)="B"))</f>
        <v>2</v>
      </c>
      <c r="C34" s="303"/>
      <c r="D34" s="305"/>
      <c r="BC34" s="1"/>
    </row>
    <row r="35" spans="1:55" ht="15" customHeight="1">
      <c r="A35" s="284" t="s">
        <v>1598</v>
      </c>
      <c r="B35" s="298" cm="1">
        <f t="array" ref="B35">SUMPRODUCT(--(RIGHT($K$3:$AD$3,1)="K"))</f>
        <v>1</v>
      </c>
      <c r="C35" s="303"/>
      <c r="D35" s="305"/>
      <c r="BC35" s="1"/>
    </row>
    <row r="36" spans="1:55" ht="15" customHeight="1">
      <c r="A36" s="284" t="s">
        <v>1599</v>
      </c>
      <c r="B36" s="288">
        <f>IF(B7=0,"",(B33 - B34*$B$21)/B7)</f>
        <v>559.86666666666667</v>
      </c>
      <c r="C36" s="299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5"/>
      <c r="BC36" s="1"/>
    </row>
    <row r="37" spans="1:55" ht="15" customHeight="1">
      <c r="A37" s="284" t="s">
        <v>1600</v>
      </c>
      <c r="B37" s="288">
        <f>IF(B7=0,"",B36+$B$21)</f>
        <v>572.56666666666672</v>
      </c>
      <c r="C37" s="299" t="str">
        <f t="shared" si="1"/>
        <v>22 9/16</v>
      </c>
      <c r="D37" s="305"/>
      <c r="BC37" s="1"/>
    </row>
    <row r="38" spans="1:55" ht="15" customHeight="1">
      <c r="A38" s="284" t="s">
        <v>1601</v>
      </c>
      <c r="B38" s="288">
        <f>$B$6 + IF($B$12="Yes", _xlfn.XLOOKUP($B$10,$AG$4:$AG$7,$AL$4:$AL$7,0), 0)
 - _xlfn.XLOOKUP($B$10,$AG$4:$AG$7,$AN$4:$AN$7,0)</f>
        <v>2072.91</v>
      </c>
      <c r="C38" s="299" t="str">
        <f t="shared" si="1"/>
        <v>81 10/16</v>
      </c>
      <c r="D38" s="305"/>
      <c r="J38" s="383"/>
      <c r="BC38" s="1"/>
    </row>
    <row r="39" spans="1:55" ht="15" customHeight="1">
      <c r="A39" s="284" t="s">
        <v>1602</v>
      </c>
      <c r="B39" s="288">
        <f>$B$6 + IF($B$12="Yes", _xlfn.XLOOKUP($B$10,$AG$4:$AG$7,$AL$4:$AL$7,0), 0)
 - _xlfn.XLOOKUP($B$10,$AG$4:$AG$7,$AM$4:$AM$7,0)</f>
        <v>2055.3215384615382</v>
      </c>
      <c r="C39" s="299" t="str">
        <f t="shared" si="1"/>
        <v>80 15/16</v>
      </c>
      <c r="D39" s="305"/>
      <c r="BC39" s="1"/>
    </row>
    <row r="40" spans="1:55" ht="15" customHeight="1">
      <c r="A40" s="284" t="s">
        <v>1603</v>
      </c>
      <c r="B40" s="288">
        <f>B39-$B$22</f>
        <v>1915.3215384615382</v>
      </c>
      <c r="C40" s="299" t="str">
        <f t="shared" si="1"/>
        <v>75 7/16</v>
      </c>
      <c r="D40" s="305"/>
      <c r="BC40" s="1"/>
    </row>
    <row r="41" spans="1:55" ht="15" customHeight="1">
      <c r="A41" s="284" t="s">
        <v>1604</v>
      </c>
      <c r="B41" s="288">
        <f>B36-$B$22</f>
        <v>419.86666666666667</v>
      </c>
      <c r="C41" s="299" t="str">
        <f t="shared" si="1"/>
        <v>16 8/16</v>
      </c>
      <c r="D41" s="305"/>
      <c r="BC41" s="1"/>
    </row>
    <row r="42" spans="1:55" ht="15" customHeight="1">
      <c r="A42" s="284" t="s">
        <v>1605</v>
      </c>
      <c r="B42" s="288">
        <f>B37-$B$22</f>
        <v>432.56666666666672</v>
      </c>
      <c r="C42" s="299" t="str">
        <f t="shared" si="1"/>
        <v>17</v>
      </c>
      <c r="D42" s="305"/>
      <c r="BC42" s="1"/>
    </row>
    <row r="43" spans="1:55" ht="15" customHeight="1">
      <c r="C43" s="4"/>
      <c r="BC43" s="1"/>
    </row>
    <row r="44" spans="1:55" ht="15" customHeight="1">
      <c r="C44" s="4"/>
      <c r="BC44" s="1"/>
    </row>
    <row r="45" spans="1:55" ht="15" customHeight="1">
      <c r="C45" s="4"/>
      <c r="BC45" s="1"/>
    </row>
    <row r="46" spans="1:55" ht="15" customHeight="1">
      <c r="C46" s="4"/>
      <c r="BC46" s="1"/>
    </row>
    <row r="47" spans="1:55" ht="15" customHeight="1">
      <c r="C47" s="4"/>
      <c r="BC47" s="1"/>
    </row>
    <row r="48" spans="1:55" ht="15" customHeight="1">
      <c r="C48" s="4"/>
      <c r="BC48" s="1"/>
    </row>
    <row r="49" spans="3:55" ht="15" customHeight="1">
      <c r="C49" s="4"/>
      <c r="BC49" s="1"/>
    </row>
    <row r="50" spans="3:55" ht="15" customHeight="1">
      <c r="C50" s="4"/>
      <c r="BC50" s="1"/>
    </row>
    <row r="51" spans="3:55" ht="15" customHeight="1"/>
    <row r="52" spans="3:55" ht="15" customHeight="1"/>
    <row r="53" spans="3:55" ht="15" customHeight="1"/>
    <row r="54" spans="3:55" ht="15" customHeight="1"/>
    <row r="55" spans="3:55" ht="15" customHeight="1"/>
    <row r="56" spans="3:55" ht="15" customHeight="1"/>
    <row r="57" spans="3:55" ht="15" customHeight="1"/>
    <row r="58" spans="3:55" ht="15" customHeight="1"/>
    <row r="59" spans="3:55" ht="15" customHeight="1"/>
    <row r="60" spans="3:55" ht="15" customHeight="1"/>
    <row r="61" spans="3:55" ht="15" customHeight="1"/>
    <row r="62" spans="3:55" ht="15" customHeight="1"/>
    <row r="63" spans="3:55" ht="15" customHeight="1"/>
    <row r="64" spans="3:55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>
      <c r="A1" s="454" t="s">
        <v>1632</v>
      </c>
      <c r="B1" s="436"/>
      <c r="C1" s="436"/>
      <c r="D1" s="436"/>
      <c r="E1" s="436"/>
      <c r="F1" s="436"/>
      <c r="G1" s="436"/>
      <c r="H1" s="436"/>
      <c r="I1" s="436"/>
    </row>
    <row r="2" spans="1:9" ht="15" customHeight="1"/>
    <row r="3" spans="1:9" ht="15" customHeight="1">
      <c r="A3" s="455" t="s">
        <v>1633</v>
      </c>
      <c r="B3" s="456"/>
      <c r="C3" s="456"/>
      <c r="E3" s="455" t="s">
        <v>1536</v>
      </c>
      <c r="F3" s="456"/>
      <c r="G3" s="456"/>
      <c r="H3" s="456"/>
      <c r="I3" s="456"/>
    </row>
    <row r="4" spans="1:9" ht="15" customHeight="1">
      <c r="A4" s="332" t="s">
        <v>1538</v>
      </c>
      <c r="B4" s="345">
        <v>2689.5250000000001</v>
      </c>
      <c r="C4" s="346" t="s">
        <v>1634</v>
      </c>
      <c r="E4" s="331" t="s">
        <v>1539</v>
      </c>
      <c r="F4" s="331" t="s">
        <v>1540</v>
      </c>
      <c r="G4" s="331" t="s">
        <v>1541</v>
      </c>
      <c r="H4" s="331" t="s">
        <v>1542</v>
      </c>
      <c r="I4" s="331" t="s">
        <v>1543</v>
      </c>
    </row>
    <row r="5" spans="1:9" ht="15" customHeight="1">
      <c r="A5" s="332" t="s">
        <v>1564</v>
      </c>
      <c r="B5" s="345">
        <v>2355</v>
      </c>
      <c r="C5" s="346" t="s">
        <v>1635</v>
      </c>
      <c r="E5" s="347" t="s">
        <v>1565</v>
      </c>
      <c r="F5" s="348">
        <f>B39</f>
        <v>2</v>
      </c>
      <c r="G5" s="348" t="e">
        <f ca="1">B46</f>
        <v>#NAME?</v>
      </c>
      <c r="H5" s="348">
        <f>B47</f>
        <v>493.74374999999998</v>
      </c>
      <c r="I5" s="347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>
      <c r="A6" s="332" t="s">
        <v>1636</v>
      </c>
      <c r="B6" s="345">
        <v>0</v>
      </c>
      <c r="C6" s="346" t="s">
        <v>1637</v>
      </c>
      <c r="E6" s="347" t="s">
        <v>1573</v>
      </c>
      <c r="F6" s="348">
        <f>B40</f>
        <v>2</v>
      </c>
      <c r="G6" s="348" t="e">
        <f ca="1">B46</f>
        <v>#NAME?</v>
      </c>
      <c r="H6" s="348">
        <f>B48</f>
        <v>506.44375000000002</v>
      </c>
      <c r="I6" s="347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>
      <c r="A7" s="332" t="s">
        <v>1638</v>
      </c>
      <c r="B7" s="345">
        <v>2</v>
      </c>
      <c r="C7" s="346" t="s">
        <v>1639</v>
      </c>
      <c r="E7" s="347"/>
      <c r="F7" s="347"/>
      <c r="G7" s="347"/>
      <c r="H7" s="347"/>
      <c r="I7" s="347"/>
    </row>
    <row r="8" spans="1:9" ht="15" customHeight="1">
      <c r="A8" s="332" t="s">
        <v>1640</v>
      </c>
      <c r="B8" s="345">
        <v>0</v>
      </c>
      <c r="C8" s="346" t="s">
        <v>1641</v>
      </c>
    </row>
    <row r="9" spans="1:9" ht="15" customHeight="1">
      <c r="A9" s="332" t="s">
        <v>1642</v>
      </c>
      <c r="B9" s="345">
        <v>2</v>
      </c>
      <c r="C9" s="346" t="s">
        <v>1643</v>
      </c>
      <c r="E9" s="455" t="s">
        <v>1577</v>
      </c>
      <c r="F9" s="456"/>
      <c r="G9" s="456"/>
      <c r="H9" s="456"/>
      <c r="I9" s="456"/>
    </row>
    <row r="10" spans="1:9" ht="15" customHeight="1">
      <c r="A10" s="332" t="s">
        <v>1572</v>
      </c>
      <c r="B10" s="345">
        <f>B11+B12</f>
        <v>4</v>
      </c>
      <c r="C10" s="346" t="e">
        <f>LeftTotal+RightTotal</f>
        <v>#NAME?</v>
      </c>
      <c r="E10" s="331" t="s">
        <v>1539</v>
      </c>
      <c r="F10" s="331" t="s">
        <v>1540</v>
      </c>
      <c r="G10" s="331" t="s">
        <v>1458</v>
      </c>
      <c r="H10" s="331" t="s">
        <v>1579</v>
      </c>
      <c r="I10" s="331" t="s">
        <v>1580</v>
      </c>
    </row>
    <row r="11" spans="1:9" ht="15" customHeight="1">
      <c r="A11" s="332" t="s">
        <v>1575</v>
      </c>
      <c r="B11" s="345">
        <f>B6+B7</f>
        <v>2</v>
      </c>
      <c r="C11" s="346" t="e">
        <f>LeftFix+LeftAction</f>
        <v>#NAME?</v>
      </c>
      <c r="E11" s="347" t="s">
        <v>1581</v>
      </c>
      <c r="F11" s="348">
        <v>1</v>
      </c>
      <c r="G11" s="348">
        <f>B4</f>
        <v>2689.5250000000001</v>
      </c>
      <c r="H11" s="347" t="e">
        <f ca="1">_xludf.LET(x,G11/25.4,w,INT(x),f,ROUND(MOD(x,1)*16,0),W2,w+(f=16),F2,IF(f=16,0,f),TEXT(W2,"0")&amp;IF(F2=0,""," "&amp;F2&amp;"/16"))</f>
        <v>#NAME?</v>
      </c>
      <c r="I11" s="347"/>
    </row>
    <row r="12" spans="1:9" ht="15" customHeight="1">
      <c r="A12" s="332" t="s">
        <v>1576</v>
      </c>
      <c r="B12" s="345">
        <f>B8+B9</f>
        <v>2</v>
      </c>
      <c r="C12" s="346" t="e">
        <f>RightFix+RightAction</f>
        <v>#NAME?</v>
      </c>
      <c r="E12" s="347" t="s">
        <v>1582</v>
      </c>
      <c r="F12" s="348">
        <v>1</v>
      </c>
      <c r="G12" s="348">
        <f>B4</f>
        <v>2689.5250000000001</v>
      </c>
      <c r="H12" s="347" t="e">
        <f ca="1">_xludf.LET(x,G12/25.4,w,INT(x),f,ROUND(MOD(x,1)*16,0),W2,w+(f=16),F2,IF(f=16,0,f),TEXT(W2,"0")&amp;IF(F2=0,""," "&amp;F2&amp;"/16"))</f>
        <v>#NAME?</v>
      </c>
      <c r="I12" s="347"/>
    </row>
    <row r="13" spans="1:9" ht="15" customHeight="1">
      <c r="A13" s="332" t="s">
        <v>1578</v>
      </c>
      <c r="B13" s="349" t="s">
        <v>1621</v>
      </c>
      <c r="C13" s="346" t="s">
        <v>1644</v>
      </c>
      <c r="E13" s="347" t="s">
        <v>1584</v>
      </c>
      <c r="F13" s="348">
        <v>2</v>
      </c>
      <c r="G13" s="348" t="e">
        <f ca="1">B45</f>
        <v>#NAME?</v>
      </c>
      <c r="H13" s="347" t="e">
        <f ca="1">_xludf.LET(x,G13/25.4,w,INT(x),f,ROUND(MOD(x,1)*16,0),W2,w+(f=16),F2,IF(f=16,0,f),TEXT(W2,"0")&amp;IF(F2=0,""," "&amp;F2&amp;"/16"))</f>
        <v>#NAME?</v>
      </c>
      <c r="I13" s="347"/>
    </row>
    <row r="14" spans="1:9" ht="15" customHeight="1">
      <c r="A14" s="332" t="s">
        <v>1611</v>
      </c>
      <c r="B14" s="349" t="s">
        <v>1610</v>
      </c>
      <c r="C14" s="346" t="s">
        <v>1645</v>
      </c>
      <c r="E14" s="347" t="s">
        <v>1585</v>
      </c>
      <c r="F14" s="348">
        <f>B10*2</f>
        <v>8</v>
      </c>
      <c r="G14" s="348" t="e">
        <f ca="1">B44</f>
        <v>#NAME?</v>
      </c>
      <c r="H14" s="347" t="e">
        <f ca="1">_xludf.LET(x,G14/25.4,w,INT(x),f,ROUND(MOD(x,1)*16,0),W2,w+(f=16),F2,IF(f=16,0,f),TEXT(W2,"0")&amp;IF(F2=0,""," "&amp;F2&amp;"/16"))</f>
        <v>#NAME?</v>
      </c>
      <c r="I14" s="347"/>
    </row>
    <row r="15" spans="1:9" ht="15" customHeight="1">
      <c r="A15" s="332" t="s">
        <v>1628</v>
      </c>
      <c r="B15" s="349" t="s">
        <v>1610</v>
      </c>
      <c r="C15" s="346" t="s">
        <v>1645</v>
      </c>
      <c r="E15" s="347" t="s">
        <v>1587</v>
      </c>
      <c r="F15" s="348">
        <f>B40*2</f>
        <v>4</v>
      </c>
      <c r="G15" s="348">
        <f>B42</f>
        <v>648.44375000000002</v>
      </c>
      <c r="H15" s="347" t="e">
        <f ca="1">_xludf.LET(x,G15/25.4,w,INT(x),f,ROUND(MOD(x,1)*16,0),W2,w+(f=16),F2,IF(f=16,0,f),TEXT(W2,"0")&amp;IF(F2=0,""," "&amp;F2&amp;"/16"))</f>
        <v>#NAME?</v>
      </c>
      <c r="I15" s="347" t="s">
        <v>1620</v>
      </c>
    </row>
    <row r="16" spans="1:9" ht="15" customHeight="1">
      <c r="A16" s="332" t="s">
        <v>1646</v>
      </c>
      <c r="B16" s="349" t="s">
        <v>1647</v>
      </c>
      <c r="C16" s="346" t="s">
        <v>1648</v>
      </c>
      <c r="E16" s="347" t="s">
        <v>1589</v>
      </c>
      <c r="F16" s="348">
        <f>B39*2</f>
        <v>4</v>
      </c>
      <c r="G16" s="348">
        <f>B41</f>
        <v>635.74374999999998</v>
      </c>
      <c r="H16" s="347" t="e">
        <f ca="1">_xludf.LET(x,G16/25.4,w,INT(x),f,ROUND(MOD(x,1)*16,0),W2,w+(f=16),F2,IF(f=16,0,f),TEXT(W2,"0")&amp;IF(F2=0,""," "&amp;F2&amp;"/16"))</f>
        <v>#NAME?</v>
      </c>
      <c r="I16" s="347" t="s">
        <v>1620</v>
      </c>
    </row>
    <row r="17" spans="1:9" ht="15" customHeight="1">
      <c r="E17" s="347" t="s">
        <v>1619</v>
      </c>
      <c r="F17" s="348">
        <f>IF(B14="Yes",2,0)</f>
        <v>2</v>
      </c>
      <c r="G17" s="348" t="e">
        <f ca="1">B44</f>
        <v>#NAME?</v>
      </c>
      <c r="H17" s="347" t="e">
        <f ca="1">_xludf.LET(x,G17/25.4,w,INT(x),f,ROUND(MOD(x,1)*16,0),W2,w+(f=16),F2,IF(f=16,0,f),TEXT(W2,"0")&amp;IF(F2=0,""," "&amp;F2&amp;"/16"))</f>
        <v>#NAME?</v>
      </c>
      <c r="I17" s="347"/>
    </row>
    <row r="18" spans="1:9" ht="15" customHeight="1">
      <c r="A18" s="435" t="s">
        <v>1586</v>
      </c>
      <c r="B18" s="436"/>
      <c r="C18" s="436"/>
    </row>
    <row r="19" spans="1:9" ht="15" customHeight="1">
      <c r="A19" s="332" t="s">
        <v>1649</v>
      </c>
      <c r="B19" s="345">
        <v>16</v>
      </c>
      <c r="C19" s="346" t="s">
        <v>1650</v>
      </c>
      <c r="E19" s="332" t="s">
        <v>1618</v>
      </c>
      <c r="F19" s="345">
        <f>B28</f>
        <v>6060</v>
      </c>
    </row>
    <row r="20" spans="1:9" ht="15" customHeight="1">
      <c r="A20" s="332" t="s">
        <v>1651</v>
      </c>
      <c r="B20" s="345">
        <v>18</v>
      </c>
      <c r="C20" s="346" t="s">
        <v>1652</v>
      </c>
      <c r="E20" s="330" t="s">
        <v>1616</v>
      </c>
      <c r="F20" s="333" t="s">
        <v>98</v>
      </c>
    </row>
    <row r="21" spans="1:9" ht="15" customHeight="1">
      <c r="A21" s="332" t="s">
        <v>1653</v>
      </c>
      <c r="B21" s="345">
        <v>64</v>
      </c>
      <c r="C21" s="346" t="s">
        <v>1654</v>
      </c>
      <c r="E21" s="347" t="s">
        <v>1613</v>
      </c>
      <c r="F21" s="350">
        <f>CEILING(G11/$F$19,1)</f>
        <v>1</v>
      </c>
    </row>
    <row r="22" spans="1:9" ht="15" customHeight="1">
      <c r="A22" s="332" t="s">
        <v>1590</v>
      </c>
      <c r="B22" s="345">
        <v>9.5250000000000004</v>
      </c>
      <c r="C22" s="346"/>
      <c r="E22" s="347" t="s">
        <v>1614</v>
      </c>
      <c r="F22" s="350">
        <f>CEILING(G12/$F$19,1)</f>
        <v>1</v>
      </c>
    </row>
    <row r="23" spans="1:9" ht="15" customHeight="1">
      <c r="A23" s="332" t="s">
        <v>1591</v>
      </c>
      <c r="B23" s="345">
        <v>6.35</v>
      </c>
      <c r="C23" s="346"/>
      <c r="E23" s="347" t="s">
        <v>235</v>
      </c>
      <c r="F23" s="350" t="e">
        <f ca="1">CEILING((G13*F13)/$F$19,1)</f>
        <v>#NAME?</v>
      </c>
    </row>
    <row r="24" spans="1:9" ht="15" customHeight="1">
      <c r="A24" s="332" t="s">
        <v>1612</v>
      </c>
      <c r="B24" s="345">
        <v>25.4</v>
      </c>
      <c r="C24" s="346"/>
      <c r="E24" s="347" t="s">
        <v>1615</v>
      </c>
      <c r="F24" s="350" t="e">
        <f ca="1">CEILING((F14*G14 + F15*G15 + F16*G16)/$F$19,1)</f>
        <v>#NAME?</v>
      </c>
    </row>
    <row r="25" spans="1:9" ht="15" customHeight="1">
      <c r="A25" s="332" t="s">
        <v>1530</v>
      </c>
      <c r="B25" s="345">
        <v>20.25</v>
      </c>
      <c r="C25" s="346"/>
      <c r="E25" s="347" t="s">
        <v>304</v>
      </c>
      <c r="F25" s="350" t="e">
        <f ca="1">IF(F17=0,0,CEILING((F17*G17)/$F$19,1))</f>
        <v>#NAME?</v>
      </c>
    </row>
    <row r="26" spans="1:9" ht="15" customHeight="1">
      <c r="A26" s="332" t="s">
        <v>1655</v>
      </c>
      <c r="B26" s="345">
        <v>12.7</v>
      </c>
      <c r="C26" s="346" t="s">
        <v>1656</v>
      </c>
    </row>
    <row r="27" spans="1:9" ht="15" customHeight="1">
      <c r="A27" s="332" t="s">
        <v>1531</v>
      </c>
      <c r="B27" s="345">
        <v>142</v>
      </c>
      <c r="C27" s="346" t="s">
        <v>1657</v>
      </c>
    </row>
    <row r="28" spans="1:9" ht="15" customHeight="1">
      <c r="A28" s="332" t="s">
        <v>1658</v>
      </c>
      <c r="B28" s="345">
        <v>6060</v>
      </c>
      <c r="C28" s="346" t="s">
        <v>1659</v>
      </c>
    </row>
    <row r="29" spans="1:9" ht="15" customHeight="1">
      <c r="A29" s="332" t="s">
        <v>1588</v>
      </c>
      <c r="B29" s="350">
        <f>B21+IF(B16="WITH",2*B20,0)</f>
        <v>64</v>
      </c>
      <c r="C29" s="346" t="s">
        <v>1660</v>
      </c>
    </row>
    <row r="30" spans="1:9" ht="15" customHeight="1"/>
    <row r="31" spans="1:9" ht="15" customHeight="1">
      <c r="A31" s="435" t="s">
        <v>1593</v>
      </c>
      <c r="B31" s="436"/>
      <c r="C31" s="436"/>
    </row>
    <row r="32" spans="1:9" ht="15" customHeight="1">
      <c r="A32" s="332" t="s">
        <v>1606</v>
      </c>
      <c r="B32" s="350">
        <f>B10+1</f>
        <v>5</v>
      </c>
      <c r="C32" s="346"/>
    </row>
    <row r="33" spans="1:3" ht="15" customHeight="1">
      <c r="A33" s="332" t="s">
        <v>1607</v>
      </c>
      <c r="B33" s="350">
        <f>IF(B11&gt;0,1,0)+IF(B12&gt;0,1,0)</f>
        <v>2</v>
      </c>
      <c r="C33" s="346"/>
    </row>
    <row r="34" spans="1:3" ht="15" customHeight="1">
      <c r="A34" s="332" t="s">
        <v>1608</v>
      </c>
      <c r="B34" s="350">
        <f>B32-B33</f>
        <v>3</v>
      </c>
      <c r="C34" s="346"/>
    </row>
    <row r="35" spans="1:3" ht="15" customHeight="1">
      <c r="A35" s="332" t="s">
        <v>1609</v>
      </c>
      <c r="B35" s="350">
        <f>B32*B23</f>
        <v>31.75</v>
      </c>
      <c r="C35" s="346" t="s">
        <v>1661</v>
      </c>
    </row>
    <row r="36" spans="1:3" ht="15" customHeight="1">
      <c r="A36" s="332" t="s">
        <v>1594</v>
      </c>
      <c r="B36" s="350">
        <f>IF(B14="Yes",B24,0)</f>
        <v>25.4</v>
      </c>
      <c r="C36" s="346"/>
    </row>
    <row r="37" spans="1:3" ht="15" customHeight="1">
      <c r="A37" s="332" t="s">
        <v>1595</v>
      </c>
      <c r="B37" s="350">
        <f>B29+B35+B36</f>
        <v>121.15</v>
      </c>
      <c r="C37" s="346"/>
    </row>
    <row r="38" spans="1:3" ht="15" customHeight="1">
      <c r="A38" s="332" t="s">
        <v>1596</v>
      </c>
      <c r="B38" s="350">
        <f>B4-B37</f>
        <v>2568.375</v>
      </c>
      <c r="C38" s="346"/>
    </row>
    <row r="39" spans="1:3" ht="15" customHeight="1">
      <c r="A39" s="332" t="s">
        <v>1598</v>
      </c>
      <c r="B39" s="350">
        <f>ROUNDUP(B10/2,0)</f>
        <v>2</v>
      </c>
      <c r="C39" s="346" t="s">
        <v>1662</v>
      </c>
    </row>
    <row r="40" spans="1:3" ht="15" customHeight="1">
      <c r="A40" s="332" t="s">
        <v>1597</v>
      </c>
      <c r="B40" s="350">
        <f>B10-B39</f>
        <v>2</v>
      </c>
      <c r="C40" s="346" t="s">
        <v>1662</v>
      </c>
    </row>
    <row r="41" spans="1:3" ht="15" customHeight="1">
      <c r="A41" s="332" t="s">
        <v>1599</v>
      </c>
      <c r="B41" s="350">
        <f>(B38 - B40*B26)/B10</f>
        <v>635.74374999999998</v>
      </c>
      <c r="C41" s="346" t="s">
        <v>1663</v>
      </c>
    </row>
    <row r="42" spans="1:3" ht="15" customHeight="1">
      <c r="A42" s="332" t="s">
        <v>1600</v>
      </c>
      <c r="B42" s="350">
        <f>B41+B26</f>
        <v>648.44375000000002</v>
      </c>
      <c r="C42" s="346"/>
    </row>
    <row r="43" spans="1:3" ht="15" customHeight="1">
      <c r="A43" s="332" t="s">
        <v>1664</v>
      </c>
      <c r="B43" s="350" t="e">
        <f ca="1">B5+IF(B15="Yes",_xludf.XLOOKUP(B13,$AG$2:$AG$7,$AL$2:$AL$7,0),0)</f>
        <v>#NAME?</v>
      </c>
      <c r="C43" s="346" t="s">
        <v>1665</v>
      </c>
    </row>
    <row r="44" spans="1:3" ht="15" customHeight="1">
      <c r="A44" s="332" t="s">
        <v>1602</v>
      </c>
      <c r="B44" s="350" t="e">
        <f ca="1">B43-_xludf.XLOOKUP(B13,$AG$2:$AG$7,$AM$2:$AM$7,0)</f>
        <v>#NAME?</v>
      </c>
      <c r="C44" s="346" t="s">
        <v>1666</v>
      </c>
    </row>
    <row r="45" spans="1:3" ht="15" customHeight="1">
      <c r="A45" s="332" t="s">
        <v>1601</v>
      </c>
      <c r="B45" s="350" t="e">
        <f ca="1">B43-_xludf.XLOOKUP(B13,$AG$2:$AG$7,$AN$2:$AN$7,0)</f>
        <v>#NAME?</v>
      </c>
      <c r="C45" s="346" t="s">
        <v>1667</v>
      </c>
    </row>
    <row r="46" spans="1:3" ht="15" customHeight="1">
      <c r="A46" s="332" t="s">
        <v>1603</v>
      </c>
      <c r="B46" s="350" t="e">
        <f ca="1">B44-B27</f>
        <v>#NAME?</v>
      </c>
      <c r="C46" s="346"/>
    </row>
    <row r="47" spans="1:3" ht="15" customHeight="1">
      <c r="A47" s="332" t="s">
        <v>1604</v>
      </c>
      <c r="B47" s="350">
        <f>B41-B27</f>
        <v>493.74374999999998</v>
      </c>
      <c r="C47" s="346"/>
    </row>
    <row r="48" spans="1:3" ht="15" customHeight="1">
      <c r="A48" s="332" t="s">
        <v>1605</v>
      </c>
      <c r="B48" s="350">
        <f>B42-B27</f>
        <v>506.44375000000002</v>
      </c>
      <c r="C48" s="346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/>
  <sheetData>
    <row r="1" spans="1:6">
      <c r="A1" t="s">
        <v>411</v>
      </c>
      <c r="B1" t="s">
        <v>412</v>
      </c>
    </row>
    <row r="2" spans="1:6">
      <c r="A2" t="s">
        <v>413</v>
      </c>
      <c r="B2" s="121">
        <v>45878.705104166664</v>
      </c>
    </row>
    <row r="3" spans="1:6">
      <c r="A3" t="s">
        <v>414</v>
      </c>
      <c r="B3" t="s">
        <v>415</v>
      </c>
    </row>
    <row r="4" spans="1:6">
      <c r="A4" t="s">
        <v>416</v>
      </c>
      <c r="B4" t="s">
        <v>417</v>
      </c>
    </row>
    <row r="6" spans="1:6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/>
  <sheetData>
    <row r="1" spans="1:6">
      <c r="A1" t="s">
        <v>411</v>
      </c>
      <c r="B1">
        <v>1</v>
      </c>
    </row>
    <row r="2" spans="1:6">
      <c r="A2" t="s">
        <v>413</v>
      </c>
      <c r="B2" s="121">
        <v>45883.626817129632</v>
      </c>
    </row>
    <row r="3" spans="1:6">
      <c r="A3" t="s">
        <v>414</v>
      </c>
      <c r="B3" t="s">
        <v>415</v>
      </c>
    </row>
    <row r="4" spans="1:6">
      <c r="A4" t="s">
        <v>416</v>
      </c>
      <c r="B4" t="s">
        <v>417</v>
      </c>
    </row>
    <row r="6" spans="1:6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Enginuity</vt:lpstr>
      <vt:lpstr>CalcEngine</vt:lpstr>
      <vt:lpstr>CostData</vt:lpstr>
      <vt:lpstr>SharedBlock</vt:lpstr>
      <vt:lpstr>Dropdown</vt:lpstr>
      <vt:lpstr>Vitally</vt:lpstr>
      <vt:lpstr>Breezway</vt:lpstr>
      <vt:lpstr>EnginuityMap</vt:lpstr>
      <vt:lpstr>AllMaterialsbak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2026-07-13T23:25:37Z</dcterms:modified>
</cp:coreProperties>
</file>