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Sheet Hershey" sheetId="1" r:id="rId4"/>
    <sheet state="visible" name="Balance Sheet Lindt" sheetId="2" r:id="rId5"/>
    <sheet state="visible" name="Balance Sheet" sheetId="3" r:id="rId6"/>
    <sheet state="visible" name="Income Statement" sheetId="4" r:id="rId7"/>
    <sheet state="visible" name="CF" sheetId="5" r:id="rId8"/>
    <sheet state="visible" name="Profitability Ratio" sheetId="6" r:id="rId9"/>
    <sheet state="visible" name="Liquidity and Efficiency Ratios" sheetId="7" r:id="rId10"/>
    <sheet state="visible" name="Inventory Turnover Ratio" sheetId="8" r:id="rId11"/>
    <sheet state="visible" name="Debt-Equity Ratio" sheetId="9" r:id="rId12"/>
    <sheet state="visible" name="Interest Coverage Ratio" sheetId="10" r:id="rId13"/>
    <sheet state="visible" name="Return on Equity (ROE) Ratio" sheetId="11" r:id="rId14"/>
    <sheet state="visible" name="Ratios - Summary" sheetId="12" r:id="rId15"/>
    <sheet state="visible" name="Three Way Du Pont" sheetId="13" r:id="rId16"/>
    <sheet state="visible" name="Altmans Z-Score" sheetId="14" r:id="rId17"/>
    <sheet state="visible" name="F-Score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1">
      <text>
        <t xml:space="preserve">Lindt:
bonds+lease liabilities+pension liabilities + other liabilities
	-Prepsa Kayastha</t>
      </text>
    </comment>
    <comment authorId="0" ref="A18">
      <text>
        <t xml:space="preserve">Lindt:
lease liabilities+current tax liabilities+derivative liabilities+provisions+bonds
	-Prepsa Kayastha
Hershey:
Accrued liabilities + Current portion of long term debt
	-Prepsa Kayastha</t>
      </text>
    </comment>
    <comment authorId="0" ref="A8">
      <text>
        <t xml:space="preserve">pre paid expenses +  derivative assets + marketable securities and short term financial assets
	-Prepsa Kayastha</t>
      </text>
    </comment>
    <comment authorId="0" ref="A12">
      <text>
        <t xml:space="preserve">Right of use assets + financial assets
	-Prepsa Kayastha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5">
      <text>
        <t xml:space="preserve">Hershey:
Provision for income tax
	-Prepsa Kayastha</t>
      </text>
    </comment>
    <comment authorId="0" ref="A9">
      <text>
        <t xml:space="preserve">Hershey:
Long-lived and intangible asset impairment charges
	-Prepsa Kayastha</t>
      </text>
    </comment>
    <comment authorId="0" ref="A13">
      <text>
        <t xml:space="preserve">Lindt:
Financial income + financial exp
	-Prepsa Kayastha
Hershey:
Interest expense, net + Other (income) expense, net
	-Prepsa Kayastha</t>
      </text>
    </comment>
    <comment authorId="0" ref="A11">
      <text>
        <t xml:space="preserve">Lindt:
Depreciation, amortization, and impairment
	-Prepsa Kayastha</t>
      </text>
    </comment>
    <comment authorId="0" ref="A5">
      <text>
        <t xml:space="preserve">Lindt:
COGS = Materrial exp + changes in inv + Personnel exp
	-Prepsa Kayastha</t>
      </text>
    </comment>
  </commentList>
</comments>
</file>

<file path=xl/sharedStrings.xml><?xml version="1.0" encoding="utf-8"?>
<sst xmlns="http://schemas.openxmlformats.org/spreadsheetml/2006/main" count="450" uniqueCount="267">
  <si>
    <t>Particulars</t>
  </si>
  <si>
    <t>ASSETS</t>
  </si>
  <si>
    <t>Current assets:</t>
  </si>
  <si>
    <t>Cash and cash equivalents</t>
  </si>
  <si>
    <t>Accounts receivable—trade, net</t>
  </si>
  <si>
    <t>Inventories</t>
  </si>
  <si>
    <t>Prepaid expenses and other</t>
  </si>
  <si>
    <t>Total current assets</t>
  </si>
  <si>
    <t>Property, plant and equipment, net</t>
  </si>
  <si>
    <t>Goodwill</t>
  </si>
  <si>
    <t>Other intangibles</t>
  </si>
  <si>
    <t>Other non-current assets</t>
  </si>
  <si>
    <t>Deferred income taxes</t>
  </si>
  <si>
    <t>Total assets</t>
  </si>
  <si>
    <t>LIABILITIES AND STOCKHOLDERS’ EQUITY</t>
  </si>
  <si>
    <t>Current liabilities:</t>
  </si>
  <si>
    <t>Accounts payable</t>
  </si>
  <si>
    <t>Accrued liabilities</t>
  </si>
  <si>
    <t>Accrued income taxes</t>
  </si>
  <si>
    <t>Short-term debt</t>
  </si>
  <si>
    <t>Current portion of long-term debt</t>
  </si>
  <si>
    <t>Total current liabilities</t>
  </si>
  <si>
    <t>Long-term debt</t>
  </si>
  <si>
    <t>Other long-term liabilities</t>
  </si>
  <si>
    <t>Total liabilities</t>
  </si>
  <si>
    <t>Stockholders’ equity:</t>
  </si>
  <si>
    <t>The Hershey Company stockholders’ equity</t>
  </si>
  <si>
    <t xml:space="preserve">Preferred stock, shares issued: </t>
  </si>
  <si>
    <t>-</t>
  </si>
  <si>
    <t xml:space="preserve">Common stock, shares issued: </t>
  </si>
  <si>
    <t xml:space="preserve">Class B common stock, shares issued: </t>
  </si>
  <si>
    <t>Additional paid-in capital</t>
  </si>
  <si>
    <t>Retained earnings</t>
  </si>
  <si>
    <t xml:space="preserve">Treasury—common stock shares, at cost: </t>
  </si>
  <si>
    <t>Accumulated other comprehensive loss</t>
  </si>
  <si>
    <t>Total—The Hershey Company stockholders’ equity</t>
  </si>
  <si>
    <t>Noncontrolling interest in subsidiary</t>
  </si>
  <si>
    <t>Total stockholders’ equity</t>
  </si>
  <si>
    <t>Total liabilities and stockholders’ equity</t>
  </si>
  <si>
    <t>Assets</t>
  </si>
  <si>
    <t>Property, plant and equipment</t>
  </si>
  <si>
    <t>Right-of-use assets</t>
  </si>
  <si>
    <t>Intangible assets</t>
  </si>
  <si>
    <t>Financial assets</t>
  </si>
  <si>
    <t>Deferred tax assets</t>
  </si>
  <si>
    <t>Total non-current asset</t>
  </si>
  <si>
    <t>Accounts receivable</t>
  </si>
  <si>
    <t>Other receivables</t>
  </si>
  <si>
    <t>Accrued income and prepayments</t>
  </si>
  <si>
    <t>Derivative assets</t>
  </si>
  <si>
    <t>Marketable securities and short-term financial assets</t>
  </si>
  <si>
    <t>Liabilities</t>
  </si>
  <si>
    <t>Share and participation capital</t>
  </si>
  <si>
    <t>Treasury stock</t>
  </si>
  <si>
    <t>Retained earnings and other reserves</t>
  </si>
  <si>
    <t>Equity attributable to shareholders</t>
  </si>
  <si>
    <t>Non-controlling interests</t>
  </si>
  <si>
    <t>Total equity</t>
  </si>
  <si>
    <t>Bonds</t>
  </si>
  <si>
    <t>Loans</t>
  </si>
  <si>
    <t>Lease liabilities</t>
  </si>
  <si>
    <t>Deferred tax liabilities</t>
  </si>
  <si>
    <t>Pension liabilities</t>
  </si>
  <si>
    <t>Other liabilities</t>
  </si>
  <si>
    <t>Provisions</t>
  </si>
  <si>
    <t>Total non-current liabilities</t>
  </si>
  <si>
    <t>Accounts payable to suppliers</t>
  </si>
  <si>
    <t>Other accounts payable</t>
  </si>
  <si>
    <t>Current tax liabilities</t>
  </si>
  <si>
    <t>Accrued liabilities and deferred income</t>
  </si>
  <si>
    <t>Derivative liabilities</t>
  </si>
  <si>
    <t>Bank and other borrowings</t>
  </si>
  <si>
    <t>Total liabilities and equity</t>
  </si>
  <si>
    <t>Lindt &amp; Sprungli</t>
  </si>
  <si>
    <t>Hershey's</t>
  </si>
  <si>
    <t>Period Ending:</t>
  </si>
  <si>
    <t>31/12</t>
  </si>
  <si>
    <t>Cash on hand</t>
  </si>
  <si>
    <t>Receivables</t>
  </si>
  <si>
    <t>Other Receivables</t>
  </si>
  <si>
    <t>Pre-paid Expenses and other current assets</t>
  </si>
  <si>
    <t>Total Current Assets</t>
  </si>
  <si>
    <t>Property, Plant, and Equipment</t>
  </si>
  <si>
    <t>Goodwill and Intangible Assets</t>
  </si>
  <si>
    <t>Other Long-Term Assets</t>
  </si>
  <si>
    <t>Other receivables and deferred income taxes</t>
  </si>
  <si>
    <t>Total Long-Term Assets</t>
  </si>
  <si>
    <t>Total Assets</t>
  </si>
  <si>
    <t>Payables</t>
  </si>
  <si>
    <t>Short-term Debt</t>
  </si>
  <si>
    <t>Other Current Liabilities</t>
  </si>
  <si>
    <t>Total Current Liabilities</t>
  </si>
  <si>
    <t>Long-Term Debt</t>
  </si>
  <si>
    <t>Other Non-Current Laibilities</t>
  </si>
  <si>
    <t>Total Long Term Liabilities</t>
  </si>
  <si>
    <t>Total Liabilities</t>
  </si>
  <si>
    <t>Retained Earnings (Accumulated Deficit)</t>
  </si>
  <si>
    <t>Share Holder Equity</t>
  </si>
  <si>
    <t>Total Liabilities and Share Holders Equity</t>
  </si>
  <si>
    <t xml:space="preserve">Market capitalization </t>
  </si>
  <si>
    <t>i know</t>
  </si>
  <si>
    <t>Hershey</t>
  </si>
  <si>
    <t>Revenue</t>
  </si>
  <si>
    <t>Cost of Goods Sold</t>
  </si>
  <si>
    <t>Gross Profit</t>
  </si>
  <si>
    <t>Research and Development Expenses</t>
  </si>
  <si>
    <t>SG&amp;A Expenses</t>
  </si>
  <si>
    <t>Operating expenses</t>
  </si>
  <si>
    <t>Restructuring and other costs</t>
  </si>
  <si>
    <t>Other Operating Income or Expneses</t>
  </si>
  <si>
    <t>Operating Income or loss</t>
  </si>
  <si>
    <t>Total Non-Operating Income/Expense</t>
  </si>
  <si>
    <t>Pre-Tax Income</t>
  </si>
  <si>
    <t>Income Taxes</t>
  </si>
  <si>
    <t>Income After Taxes</t>
  </si>
  <si>
    <t>Other income</t>
  </si>
  <si>
    <t>Income from Continuous Operations</t>
  </si>
  <si>
    <t>Income from Discontinued Operations</t>
  </si>
  <si>
    <t>Income attributable to NCI</t>
  </si>
  <si>
    <t>Buyout of NCI</t>
  </si>
  <si>
    <t>Net Income attribbutable to stockholders</t>
  </si>
  <si>
    <t>Preferred Dividends</t>
  </si>
  <si>
    <t>Net Income attribbutable to common stockholders</t>
  </si>
  <si>
    <t>EBITDA</t>
  </si>
  <si>
    <t>Basic Shares Outstanding</t>
  </si>
  <si>
    <t>Shares Outstanding</t>
  </si>
  <si>
    <t>Basic EPS</t>
  </si>
  <si>
    <t>EPS - Earnings Per Share</t>
  </si>
  <si>
    <t>Sales Per Share</t>
  </si>
  <si>
    <t>Net Income/Loss</t>
  </si>
  <si>
    <t>Total Depreciation and Amortization - Cash Flow</t>
  </si>
  <si>
    <t>Other Non-Cash items</t>
  </si>
  <si>
    <t>Total Non-Cash items</t>
  </si>
  <si>
    <t>Interest income</t>
  </si>
  <si>
    <t>Interest expense</t>
  </si>
  <si>
    <t>Taxes</t>
  </si>
  <si>
    <t>Change in Accounts Receivable</t>
  </si>
  <si>
    <t>–73.2</t>
  </si>
  <si>
    <t>Change in other receivable</t>
  </si>
  <si>
    <t>Change in Inventories</t>
  </si>
  <si>
    <t>–79.2</t>
  </si>
  <si>
    <t>–0.8</t>
  </si>
  <si>
    <t>Change in Accounts Payable</t>
  </si>
  <si>
    <t>–34.2</t>
  </si>
  <si>
    <t>Change in other payables</t>
  </si>
  <si>
    <t>Change in Assets/Liabilities</t>
  </si>
  <si>
    <t>–14.5</t>
  </si>
  <si>
    <t>–2.3</t>
  </si>
  <si>
    <t>Total Change in Assests/Liablities</t>
  </si>
  <si>
    <t>Cash Flow from Operating Activities</t>
  </si>
  <si>
    <t>Net Change in Property, Plant, and Equipment</t>
  </si>
  <si>
    <t>Net Change in Intangible Assets</t>
  </si>
  <si>
    <t>Net Acquisitions/Divestitures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</si>
  <si>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</si>
  <si>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</si>
  <si>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</si>
  <si>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</si>
  <si>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</si>
  <si>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</si>
  <si>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</si>
  <si>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</si>
  <si>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</si>
  <si>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</si>
  <si>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</si>
  <si>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</si>
  <si>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</si>
  <si>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</si>
  <si>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</si>
  <si>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</si>
  <si>
    <t>Group revenue</t>
  </si>
  <si>
    <t>Gross profit</t>
  </si>
  <si>
    <t>Gross Profit Margin (%)</t>
  </si>
  <si>
    <t>Profit from operations</t>
  </si>
  <si>
    <t>Operating Profit Margin (%)</t>
  </si>
  <si>
    <t>Net profit</t>
  </si>
  <si>
    <t>Net Profit Margin (%)</t>
  </si>
  <si>
    <t>Return on Assets (ROA)</t>
  </si>
  <si>
    <t>Capital Employed</t>
  </si>
  <si>
    <t>Profit before interest and tax (EBIT)</t>
  </si>
  <si>
    <t>Return on Capital Employed (%)</t>
  </si>
  <si>
    <t>Current Assets</t>
  </si>
  <si>
    <t>Current Liabilities</t>
  </si>
  <si>
    <t>Current Ratio</t>
  </si>
  <si>
    <t>Less: Inventories</t>
  </si>
  <si>
    <t>Quick Ratio</t>
  </si>
  <si>
    <t>Cash generated from operations</t>
  </si>
  <si>
    <t>Working capital</t>
  </si>
  <si>
    <t>Cash generated from operations to maturing obligations</t>
  </si>
  <si>
    <t>Inventory</t>
  </si>
  <si>
    <t>Cost of sales</t>
  </si>
  <si>
    <t>Inventory days</t>
  </si>
  <si>
    <t>Trade receivables</t>
  </si>
  <si>
    <t>Sales</t>
  </si>
  <si>
    <t>Debtor days</t>
  </si>
  <si>
    <t>Trade payables</t>
  </si>
  <si>
    <t>Payable days</t>
  </si>
  <si>
    <t>Cash conversion cycle (days)</t>
  </si>
  <si>
    <t>Asset Turnover</t>
  </si>
  <si>
    <t>Employees</t>
  </si>
  <si>
    <t>Sales revenue per employee</t>
  </si>
  <si>
    <t>Changes in inventories</t>
  </si>
  <si>
    <t>Beginning inventory</t>
  </si>
  <si>
    <t>Ending Inventory</t>
  </si>
  <si>
    <t>Ending inventory</t>
  </si>
  <si>
    <t>Cost of Sales/COGS</t>
  </si>
  <si>
    <t>Total expenses/Purchases</t>
  </si>
  <si>
    <t>Average inventory</t>
  </si>
  <si>
    <t>COGS</t>
  </si>
  <si>
    <t>Inventory Turnover ratio</t>
  </si>
  <si>
    <t>Average inventory turnover ratio</t>
  </si>
  <si>
    <t>Total Shareholder's Equity</t>
  </si>
  <si>
    <t>Debt-Equity ratio</t>
  </si>
  <si>
    <t>Average debt-equity ratio</t>
  </si>
  <si>
    <t>Interest expenses</t>
  </si>
  <si>
    <t>Operating/Prepaid expenses</t>
  </si>
  <si>
    <t>EBIT</t>
  </si>
  <si>
    <t>Revenue/Assets</t>
  </si>
  <si>
    <t>Interest coverage ratio</t>
  </si>
  <si>
    <t>Average interest coverage ratio</t>
  </si>
  <si>
    <t>Net Income</t>
  </si>
  <si>
    <t>Shareholder's Equity</t>
  </si>
  <si>
    <t>ROE Ratio</t>
  </si>
  <si>
    <t>Average ROE Ratio</t>
  </si>
  <si>
    <t>Interest cover</t>
  </si>
  <si>
    <t>Debt to Equity</t>
  </si>
  <si>
    <t xml:space="preserve">Debt to Assets </t>
  </si>
  <si>
    <t>Financial Leverage</t>
  </si>
  <si>
    <t>Return on Equity (%)</t>
  </si>
  <si>
    <t>Inventory turnover ratio</t>
  </si>
  <si>
    <t xml:space="preserve">EPS </t>
  </si>
  <si>
    <t>P/E Ratio</t>
  </si>
  <si>
    <t>P/S Ratio</t>
  </si>
  <si>
    <t>Dividend Yield</t>
  </si>
  <si>
    <t>Dividend Cover Ratio</t>
  </si>
  <si>
    <t>Dividend Payout Rate</t>
  </si>
  <si>
    <t>Retention Rate</t>
  </si>
  <si>
    <t>Sustainable Growth Rate</t>
  </si>
  <si>
    <t>Three Way Du Pont Analysis</t>
  </si>
  <si>
    <t>Equity</t>
  </si>
  <si>
    <t>Net sales/Revenue</t>
  </si>
  <si>
    <t>Average assets</t>
  </si>
  <si>
    <t>Average shareholder's equity</t>
  </si>
  <si>
    <t>Calculating three factors/ratios</t>
  </si>
  <si>
    <t>Net Profit Margin</t>
  </si>
  <si>
    <t>Financial leverage ratio</t>
  </si>
  <si>
    <t>The formula for Altman’s Z-Score = (1.2).A + (1.4).B + (3.3).C + (0.6).D + (1.0).E</t>
  </si>
  <si>
    <t>Lindt's</t>
  </si>
  <si>
    <t>Current liabilities</t>
  </si>
  <si>
    <t>Current assets</t>
  </si>
  <si>
    <t>Total stockholder's equity</t>
  </si>
  <si>
    <t>Altman's Z-Score</t>
  </si>
  <si>
    <t>Average Altman's Z-Score</t>
  </si>
  <si>
    <t>Hersheys</t>
  </si>
  <si>
    <t>Score</t>
  </si>
  <si>
    <t>Profitability</t>
  </si>
  <si>
    <t>Return on Assets</t>
  </si>
  <si>
    <t>Operating Cash Flow</t>
  </si>
  <si>
    <t>Change in Return of Assets</t>
  </si>
  <si>
    <t>Accruals</t>
  </si>
  <si>
    <t>Leverage, liquidity and source of funds</t>
  </si>
  <si>
    <t>Change in leverage (long-term) ratio</t>
  </si>
  <si>
    <t>Change in current ratio</t>
  </si>
  <si>
    <t>Change in the number of shares</t>
  </si>
  <si>
    <t>Operating Efficiency</t>
  </si>
  <si>
    <t>Change in gross margin</t>
  </si>
  <si>
    <t>Change in asset turnover ratio</t>
  </si>
  <si>
    <t>F-Score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</si>
</sst>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0">
    <font>
      <sz val="10.0"/>
      <color rgb="FF000000"/>
      <name val="Arial"/>
      <scheme val="minor"/>
    </font>
    <font>
      <b/>
      <sz val="12.0"/>
      <color theme="1"/>
      <name val="Lato"/>
    </font>
    <font>
      <sz val="10.0"/>
      <color theme="1"/>
      <name val="Lato"/>
    </font>
    <font>
      <b/>
      <sz val="10.0"/>
      <color theme="1"/>
      <name val="Lato"/>
    </font>
    <font>
      <b/>
      <sz val="10.0"/>
      <color rgb="FF000000"/>
      <name val="Lato"/>
    </font>
    <font>
      <sz val="10.0"/>
      <color rgb="FF000000"/>
      <name val="Lato"/>
    </font>
    <font>
      <sz val="9.0"/>
      <color rgb="FF000000"/>
      <name val="Lato"/>
    </font>
    <font>
      <sz val="9.0"/>
      <color theme="1"/>
      <name val="Lato"/>
    </font>
    <font/>
    <font>
      <b/>
      <sz val="9.0"/>
      <color theme="1"/>
      <name val="Lato"/>
    </font>
    <font>
      <sz val="9.0"/>
      <color rgb="FF333333"/>
      <name val="Lato"/>
    </font>
    <font>
      <b/>
      <color theme="1"/>
      <name val="Arial"/>
      <scheme val="minor"/>
    </font>
    <font>
      <b/>
      <sz val="9.0"/>
      <color rgb="FF333333"/>
      <name val="Lato"/>
    </font>
    <font>
      <color theme="1"/>
      <name val="Arial"/>
    </font>
    <font>
      <sz val="12.0"/>
      <color theme="1"/>
      <name val="Times"/>
    </font>
    <font>
      <color theme="1"/>
      <name val="Arial"/>
      <scheme val="minor"/>
    </font>
    <font>
      <b/>
      <sz val="12.0"/>
      <color rgb="FF333333"/>
      <name val="Times"/>
    </font>
    <font>
      <sz val="12.0"/>
      <color theme="1"/>
      <name val="Calibri"/>
    </font>
    <font>
      <sz val="12.0"/>
      <color rgb="FF333333"/>
      <name val="Times"/>
    </font>
    <font>
      <b/>
      <sz val="12.0"/>
      <color theme="1"/>
      <name val="Times"/>
    </font>
    <font>
      <color theme="1"/>
      <name val="Lato"/>
    </font>
    <font>
      <b/>
      <color theme="1"/>
      <name val="Lato"/>
    </font>
    <font>
      <b/>
      <sz val="11.0"/>
      <color theme="1"/>
      <name val="Lato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9.0"/>
      <color rgb="FF000000"/>
      <name val="Lato"/>
    </font>
    <font>
      <sz val="11.0"/>
      <color rgb="FF000000"/>
      <name val="Lato"/>
    </font>
    <font>
      <b/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</fills>
  <borders count="9">
    <border/>
    <border>
      <bottom style="thin">
        <color rgb="FF000000"/>
      </bottom>
    </border>
    <border>
      <top style="thin">
        <color rgb="FF000000"/>
      </top>
    </border>
    <border>
      <top style="double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readingOrder="0" shrinkToFit="0" wrapText="1"/>
    </xf>
    <xf borderId="1" fillId="2" fontId="1" numFmtId="1" xfId="0" applyAlignment="1" applyBorder="1" applyFont="1" applyNumberFormat="1">
      <alignment readingOrder="0"/>
    </xf>
    <xf borderId="0" fillId="0" fontId="2" numFmtId="1" xfId="0" applyFont="1" applyNumberFormat="1"/>
    <xf borderId="0" fillId="0" fontId="2" numFmtId="1" xfId="0" applyAlignment="1" applyFont="1" applyNumberFormat="1">
      <alignment shrinkToFit="0" wrapText="1"/>
    </xf>
    <xf borderId="0" fillId="0" fontId="3" numFmtId="1" xfId="0" applyAlignment="1" applyFont="1" applyNumberForma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2" numFmtId="164" xfId="0" applyFont="1" applyNumberFormat="1"/>
    <xf borderId="0" fillId="0" fontId="5" numFmtId="164" xfId="0" applyAlignment="1" applyFont="1" applyNumberFormat="1">
      <alignment readingOrder="0" shrinkToFit="0" wrapText="1"/>
    </xf>
    <xf borderId="0" fillId="0" fontId="5" numFmtId="164" xfId="0" applyAlignment="1" applyFont="1" applyNumberFormat="1">
      <alignment readingOrder="0"/>
    </xf>
    <xf borderId="0" fillId="3" fontId="5" numFmtId="164" xfId="0" applyAlignment="1" applyFill="1" applyFont="1" applyNumberFormat="1">
      <alignment readingOrder="0"/>
    </xf>
    <xf borderId="0" fillId="4" fontId="2" numFmtId="164" xfId="0" applyAlignment="1" applyFill="1" applyFont="1" applyNumberFormat="1">
      <alignment readingOrder="0"/>
    </xf>
    <xf borderId="0" fillId="4" fontId="5" numFmtId="164" xfId="0" applyAlignment="1" applyFont="1" applyNumberFormat="1">
      <alignment readingOrder="0"/>
    </xf>
    <xf borderId="2" fillId="0" fontId="5" numFmtId="164" xfId="0" applyAlignment="1" applyBorder="1" applyFont="1" applyNumberFormat="1">
      <alignment readingOrder="0"/>
    </xf>
    <xf borderId="3" fillId="0" fontId="5" numFmtId="164" xfId="0" applyAlignment="1" applyBorder="1" applyFont="1" applyNumberFormat="1">
      <alignment readingOrder="0"/>
    </xf>
    <xf borderId="0" fillId="0" fontId="5" numFmtId="164" xfId="0" applyFont="1" applyNumberFormat="1"/>
    <xf borderId="2" fillId="4" fontId="5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4" fontId="5" numFmtId="164" xfId="0" applyAlignment="1" applyFont="1" applyNumberFormat="1">
      <alignment readingOrder="0" shrinkToFit="0" wrapText="1"/>
    </xf>
    <xf borderId="2" fillId="3" fontId="5" numFmtId="164" xfId="0" applyAlignment="1" applyBorder="1" applyFont="1" applyNumberFormat="1">
      <alignment readingOrder="0"/>
    </xf>
    <xf borderId="0" fillId="0" fontId="5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1" fillId="2" fontId="1" numFmtId="1" xfId="0" applyAlignment="1" applyBorder="1" applyFont="1" applyNumberFormat="1">
      <alignment readingOrder="0"/>
    </xf>
    <xf borderId="1" fillId="2" fontId="1" numFmtId="1" xfId="0" applyBorder="1" applyFont="1" applyNumberFormat="1"/>
    <xf borderId="0" fillId="0" fontId="2" numFmtId="1" xfId="0" applyFont="1" applyNumberFormat="1"/>
    <xf borderId="2" fillId="0" fontId="3" numFmtId="164" xfId="0" applyAlignment="1" applyBorder="1" applyFont="1" applyNumberFormat="1">
      <alignment readingOrder="0"/>
    </xf>
    <xf borderId="2" fillId="0" fontId="4" numFmtId="164" xfId="0" applyAlignment="1" applyBorder="1" applyFont="1" applyNumberFormat="1">
      <alignment readingOrder="0"/>
    </xf>
    <xf borderId="2" fillId="3" fontId="4" numFmtId="164" xfId="0" applyAlignment="1" applyBorder="1" applyFont="1" applyNumberFormat="1">
      <alignment readingOrder="0"/>
    </xf>
    <xf borderId="0" fillId="0" fontId="3" numFmtId="164" xfId="0" applyFont="1" applyNumberFormat="1"/>
    <xf borderId="0" fillId="0" fontId="6" numFmtId="164" xfId="0" applyFont="1" applyNumberFormat="1"/>
    <xf borderId="3" fillId="4" fontId="3" numFmtId="164" xfId="0" applyAlignment="1" applyBorder="1" applyFont="1" applyNumberFormat="1">
      <alignment readingOrder="0"/>
    </xf>
    <xf borderId="3" fillId="4" fontId="4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3" fontId="4" numFmtId="164" xfId="0" applyAlignment="1" applyFont="1" applyNumberFormat="1">
      <alignment readingOrder="0"/>
    </xf>
    <xf borderId="2" fillId="4" fontId="3" numFmtId="164" xfId="0" applyAlignment="1" applyBorder="1" applyFont="1" applyNumberFormat="1">
      <alignment readingOrder="0"/>
    </xf>
    <xf borderId="2" fillId="4" fontId="4" numFmtId="164" xfId="0" applyAlignment="1" applyBorder="1" applyFont="1" applyNumberFormat="1">
      <alignment readingOrder="0"/>
    </xf>
    <xf borderId="0" fillId="0" fontId="2" numFmtId="0" xfId="0" applyFont="1"/>
    <xf borderId="0" fillId="5" fontId="7" numFmtId="0" xfId="0" applyAlignment="1" applyFill="1" applyFont="1">
      <alignment vertical="bottom"/>
    </xf>
    <xf borderId="1" fillId="2" fontId="1" numFmtId="0" xfId="0" applyAlignment="1" applyBorder="1" applyFont="1">
      <alignment horizontal="center" readingOrder="0"/>
    </xf>
    <xf borderId="1" fillId="0" fontId="8" numFmtId="0" xfId="0" applyBorder="1" applyFont="1"/>
    <xf borderId="4" fillId="0" fontId="8" numFmtId="0" xfId="0" applyBorder="1" applyFont="1"/>
    <xf borderId="0" fillId="5" fontId="7" numFmtId="0" xfId="0" applyFont="1"/>
    <xf borderId="0" fillId="0" fontId="9" numFmtId="0" xfId="0" applyAlignment="1" applyFont="1">
      <alignment readingOrder="0"/>
    </xf>
    <xf borderId="5" fillId="0" fontId="9" numFmtId="0" xfId="0" applyAlignment="1" applyBorder="1" applyFont="1">
      <alignment readingOrder="0"/>
    </xf>
    <xf borderId="0" fillId="0" fontId="7" numFmtId="0" xfId="0" applyAlignment="1" applyFont="1">
      <alignment horizontal="right" readingOrder="0"/>
    </xf>
    <xf borderId="5" fillId="0" fontId="7" numFmtId="0" xfId="0" applyAlignment="1" applyBorder="1" applyFont="1">
      <alignment horizontal="right" readingOrder="0"/>
    </xf>
    <xf borderId="0" fillId="5" fontId="10" numFmtId="0" xfId="0" applyAlignment="1" applyFont="1">
      <alignment shrinkToFit="0" wrapText="1"/>
    </xf>
    <xf borderId="0" fillId="0" fontId="7" numFmtId="164" xfId="0" applyAlignment="1" applyFont="1" applyNumberFormat="1">
      <alignment horizontal="right" vertical="bottom"/>
    </xf>
    <xf borderId="0" fillId="3" fontId="7" numFmtId="164" xfId="0" applyAlignment="1" applyFont="1" applyNumberFormat="1">
      <alignment horizontal="right" vertical="bottom"/>
    </xf>
    <xf borderId="5" fillId="0" fontId="7" numFmtId="164" xfId="0" applyAlignment="1" applyBorder="1" applyFont="1" applyNumberFormat="1">
      <alignment horizontal="right" vertical="bottom"/>
    </xf>
    <xf borderId="0" fillId="5" fontId="7" numFmtId="0" xfId="0" applyAlignment="1" applyFont="1">
      <alignment shrinkToFit="0" wrapText="1"/>
    </xf>
    <xf borderId="0" fillId="0" fontId="7" numFmtId="0" xfId="0" applyFont="1"/>
    <xf borderId="0" fillId="5" fontId="7" numFmtId="0" xfId="0" applyAlignment="1" applyFont="1">
      <alignment readingOrder="0" shrinkToFit="0" wrapText="1"/>
    </xf>
    <xf borderId="5" fillId="3" fontId="7" numFmtId="164" xfId="0" applyAlignment="1" applyBorder="1" applyFont="1" applyNumberFormat="1">
      <alignment horizontal="right" vertical="bottom"/>
    </xf>
    <xf borderId="1" fillId="0" fontId="7" numFmtId="164" xfId="0" applyAlignment="1" applyBorder="1" applyFont="1" applyNumberFormat="1">
      <alignment horizontal="right" vertical="bottom"/>
    </xf>
    <xf borderId="1" fillId="3" fontId="7" numFmtId="164" xfId="0" applyAlignment="1" applyBorder="1" applyFont="1" applyNumberFormat="1">
      <alignment horizontal="right" vertical="bottom"/>
    </xf>
    <xf borderId="4" fillId="0" fontId="7" numFmtId="164" xfId="0" applyAlignment="1" applyBorder="1" applyFont="1" applyNumberFormat="1">
      <alignment horizontal="right" vertical="bottom"/>
    </xf>
    <xf borderId="0" fillId="5" fontId="9" numFmtId="0" xfId="0" applyAlignment="1" applyFont="1">
      <alignment shrinkToFit="0" wrapText="1"/>
    </xf>
    <xf borderId="0" fillId="0" fontId="9" numFmtId="164" xfId="0" applyFont="1" applyNumberFormat="1"/>
    <xf borderId="5" fillId="0" fontId="9" numFmtId="164" xfId="0" applyBorder="1" applyFont="1" applyNumberFormat="1"/>
    <xf borderId="6" fillId="0" fontId="9" numFmtId="164" xfId="0" applyBorder="1" applyFont="1" applyNumberFormat="1"/>
    <xf borderId="0" fillId="0" fontId="11" numFmtId="0" xfId="0" applyFont="1"/>
    <xf borderId="0" fillId="0" fontId="7" numFmtId="164" xfId="0" applyAlignment="1" applyFont="1" applyNumberFormat="1">
      <alignment horizontal="right" readingOrder="0" vertical="bottom"/>
    </xf>
    <xf borderId="7" fillId="0" fontId="7" numFmtId="164" xfId="0" applyAlignment="1" applyBorder="1" applyFont="1" applyNumberFormat="1">
      <alignment horizontal="right" vertical="bottom"/>
    </xf>
    <xf borderId="0" fillId="5" fontId="12" numFmtId="0" xfId="0" applyAlignment="1" applyFont="1">
      <alignment shrinkToFit="0" wrapText="1"/>
    </xf>
    <xf borderId="1" fillId="0" fontId="7" numFmtId="164" xfId="0" applyAlignment="1" applyBorder="1" applyFont="1" applyNumberFormat="1">
      <alignment horizontal="right" readingOrder="0" vertical="bottom"/>
    </xf>
    <xf borderId="1" fillId="0" fontId="7" numFmtId="4" xfId="0" applyAlignment="1" applyBorder="1" applyFont="1" applyNumberFormat="1">
      <alignment readingOrder="0"/>
    </xf>
    <xf borderId="4" fillId="0" fontId="7" numFmtId="4" xfId="0" applyAlignment="1" applyBorder="1" applyFont="1" applyNumberFormat="1">
      <alignment readingOrder="0"/>
    </xf>
    <xf borderId="0" fillId="5" fontId="9" numFmtId="0" xfId="0" applyAlignment="1" applyFont="1">
      <alignment readingOrder="0" shrinkToFit="0" wrapText="1"/>
    </xf>
    <xf borderId="0" fillId="0" fontId="7" numFmtId="164" xfId="0" applyAlignment="1" applyFont="1" applyNumberFormat="1">
      <alignment vertical="bottom"/>
    </xf>
    <xf borderId="0" fillId="3" fontId="7" numFmtId="164" xfId="0" applyAlignment="1" applyFont="1" applyNumberFormat="1">
      <alignment vertical="bottom"/>
    </xf>
    <xf borderId="0" fillId="0" fontId="7" numFmtId="4" xfId="0" applyAlignment="1" applyFont="1" applyNumberFormat="1">
      <alignment readingOrder="0"/>
    </xf>
    <xf borderId="5" fillId="0" fontId="7" numFmtId="4" xfId="0" applyAlignment="1" applyBorder="1" applyFont="1" applyNumberFormat="1">
      <alignment readingOrder="0"/>
    </xf>
    <xf borderId="0" fillId="5" fontId="10" numFmtId="0" xfId="0" applyAlignment="1" applyFont="1">
      <alignment readingOrder="0" shrinkToFit="0" wrapText="1"/>
    </xf>
    <xf borderId="0" fillId="0" fontId="9" numFmtId="164" xfId="0" applyAlignment="1" applyFont="1" applyNumberFormat="1">
      <alignment horizontal="right" vertical="bottom"/>
    </xf>
    <xf borderId="5" fillId="0" fontId="9" numFmtId="164" xfId="0" applyAlignment="1" applyBorder="1" applyFont="1" applyNumberFormat="1">
      <alignment horizontal="right" vertical="bottom"/>
    </xf>
    <xf borderId="6" fillId="0" fontId="7" numFmtId="164" xfId="0" applyAlignment="1" applyBorder="1" applyFont="1" applyNumberFormat="1">
      <alignment vertical="bottom"/>
    </xf>
    <xf borderId="0" fillId="0" fontId="13" numFmtId="164" xfId="0" applyAlignment="1" applyFont="1" applyNumberFormat="1">
      <alignment vertical="bottom"/>
    </xf>
    <xf borderId="0" fillId="5" fontId="14" numFmtId="0" xfId="0" applyAlignment="1" applyFont="1">
      <alignment shrinkToFit="0" wrapText="1"/>
    </xf>
    <xf borderId="5" fillId="0" fontId="15" numFmtId="0" xfId="0" applyBorder="1" applyFont="1"/>
    <xf borderId="5" fillId="0" fontId="11" numFmtId="0" xfId="0" applyBorder="1" applyFont="1"/>
    <xf borderId="0" fillId="5" fontId="16" numFmtId="0" xfId="0" applyAlignment="1" applyFont="1">
      <alignment shrinkToFit="0" wrapText="1"/>
    </xf>
    <xf borderId="0" fillId="5" fontId="17" numFmtId="0" xfId="0" applyAlignment="1" applyFont="1">
      <alignment vertical="bottom"/>
    </xf>
    <xf borderId="0" fillId="5" fontId="7" numFmtId="164" xfId="0" applyAlignment="1" applyFont="1" applyNumberFormat="1">
      <alignment readingOrder="0" vertical="bottom"/>
    </xf>
    <xf borderId="0" fillId="2" fontId="1" numFmtId="164" xfId="0" applyAlignment="1" applyFont="1" applyNumberFormat="1">
      <alignment horizontal="center" readingOrder="0"/>
    </xf>
    <xf borderId="0" fillId="6" fontId="1" numFmtId="164" xfId="0" applyAlignment="1" applyFill="1" applyFont="1" applyNumberFormat="1">
      <alignment horizontal="center" readingOrder="0"/>
    </xf>
    <xf borderId="0" fillId="0" fontId="15" numFmtId="164" xfId="0" applyFont="1" applyNumberFormat="1"/>
    <xf borderId="0" fillId="5" fontId="9" numFmtId="164" xfId="0" applyFont="1" applyNumberFormat="1"/>
    <xf borderId="0" fillId="0" fontId="9" numFmtId="1" xfId="0" applyAlignment="1" applyFont="1" applyNumberFormat="1">
      <alignment readingOrder="0"/>
    </xf>
    <xf borderId="5" fillId="0" fontId="9" numFmtId="1" xfId="0" applyAlignment="1" applyBorder="1" applyFont="1" applyNumberFormat="1">
      <alignment readingOrder="0"/>
    </xf>
    <xf borderId="0" fillId="0" fontId="11" numFmtId="164" xfId="0" applyFont="1" applyNumberFormat="1"/>
    <xf borderId="0" fillId="0" fontId="7" numFmtId="164" xfId="0" applyAlignment="1" applyFont="1" applyNumberFormat="1">
      <alignment horizontal="right" readingOrder="0"/>
    </xf>
    <xf borderId="5" fillId="0" fontId="7" numFmtId="164" xfId="0" applyAlignment="1" applyBorder="1" applyFont="1" applyNumberFormat="1">
      <alignment horizontal="right" readingOrder="0"/>
    </xf>
    <xf borderId="0" fillId="5" fontId="12" numFmtId="164" xfId="0" applyAlignment="1" applyFont="1" applyNumberFormat="1">
      <alignment shrinkToFit="0" wrapText="1"/>
    </xf>
    <xf borderId="0" fillId="0" fontId="7" numFmtId="164" xfId="0" applyAlignment="1" applyFont="1" applyNumberFormat="1">
      <alignment readingOrder="0"/>
    </xf>
    <xf borderId="0" fillId="0" fontId="7" numFmtId="164" xfId="0" applyFont="1" applyNumberFormat="1"/>
    <xf borderId="5" fillId="0" fontId="7" numFmtId="164" xfId="0" applyBorder="1" applyFont="1" applyNumberFormat="1"/>
    <xf borderId="0" fillId="0" fontId="15" numFmtId="164" xfId="0" applyAlignment="1" applyFont="1" applyNumberFormat="1">
      <alignment readingOrder="0"/>
    </xf>
    <xf borderId="0" fillId="5" fontId="7" numFmtId="164" xfId="0" applyAlignment="1" applyFont="1" applyNumberFormat="1">
      <alignment shrinkToFit="0" wrapText="1"/>
    </xf>
    <xf borderId="0" fillId="5" fontId="9" numFmtId="164" xfId="0" applyAlignment="1" applyFont="1" applyNumberFormat="1">
      <alignment shrinkToFit="0" wrapText="1"/>
    </xf>
    <xf borderId="0" fillId="5" fontId="10" numFmtId="164" xfId="0" applyAlignment="1" applyFont="1" applyNumberFormat="1">
      <alignment shrinkToFit="0" wrapText="1"/>
    </xf>
    <xf borderId="0" fillId="5" fontId="10" numFmtId="164" xfId="0" applyAlignment="1" applyFont="1" applyNumberFormat="1">
      <alignment readingOrder="0" shrinkToFit="0" wrapText="1"/>
    </xf>
    <xf borderId="0" fillId="5" fontId="9" numFmtId="164" xfId="0" applyAlignment="1" applyFont="1" applyNumberFormat="1">
      <alignment readingOrder="0" shrinkToFit="0" wrapText="1"/>
    </xf>
    <xf borderId="5" fillId="0" fontId="7" numFmtId="164" xfId="0" applyAlignment="1" applyBorder="1" applyFont="1" applyNumberFormat="1">
      <alignment readingOrder="0"/>
    </xf>
    <xf borderId="0" fillId="5" fontId="12" numFmtId="164" xfId="0" applyFont="1" applyNumberFormat="1"/>
    <xf borderId="0" fillId="5" fontId="18" numFmtId="164" xfId="0" applyAlignment="1" applyFont="1" applyNumberFormat="1">
      <alignment shrinkToFit="0" wrapText="1"/>
    </xf>
    <xf borderId="5" fillId="0" fontId="15" numFmtId="164" xfId="0" applyBorder="1" applyFont="1" applyNumberFormat="1"/>
    <xf borderId="0" fillId="5" fontId="16" numFmtId="164" xfId="0" applyAlignment="1" applyFont="1" applyNumberFormat="1">
      <alignment shrinkToFit="0" wrapText="1"/>
    </xf>
    <xf borderId="0" fillId="5" fontId="19" numFmtId="164" xfId="0" applyAlignment="1" applyFont="1" applyNumberFormat="1">
      <alignment shrinkToFit="0" wrapText="1"/>
    </xf>
    <xf borderId="0" fillId="5" fontId="17" numFmtId="164" xfId="0" applyAlignment="1" applyFont="1" applyNumberFormat="1">
      <alignment vertical="bottom"/>
    </xf>
    <xf borderId="0" fillId="5" fontId="17" numFmtId="164" xfId="0" applyFont="1" applyNumberFormat="1"/>
    <xf borderId="0" fillId="0" fontId="11" numFmtId="0" xfId="0" applyAlignment="1" applyFont="1">
      <alignment horizontal="center" readingOrder="0"/>
    </xf>
    <xf borderId="0" fillId="5" fontId="19" numFmtId="0" xfId="0" applyFont="1"/>
    <xf borderId="0" fillId="0" fontId="11" numFmtId="0" xfId="0" applyAlignment="1" applyFont="1">
      <alignment readingOrder="0"/>
    </xf>
    <xf borderId="0" fillId="0" fontId="15" numFmtId="0" xfId="0" applyAlignment="1" applyFont="1">
      <alignment horizontal="right"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5" fontId="17" numFmtId="0" xfId="0" applyAlignment="1" applyFont="1">
      <alignment readingOrder="0" vertical="bottom"/>
    </xf>
    <xf borderId="0" fillId="5" fontId="19" numFmtId="0" xfId="0" applyAlignment="1" applyFont="1">
      <alignment vertical="bottom"/>
    </xf>
    <xf borderId="0" fillId="2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5" fontId="9" numFmtId="0" xfId="0" applyFont="1"/>
    <xf borderId="0" fillId="3" fontId="7" numFmtId="164" xfId="0" applyFont="1" applyNumberFormat="1"/>
    <xf borderId="5" fillId="3" fontId="7" numFmtId="164" xfId="0" applyBorder="1" applyFont="1" applyNumberFormat="1"/>
    <xf borderId="0" fillId="0" fontId="9" numFmtId="10" xfId="0" applyFont="1" applyNumberFormat="1"/>
    <xf borderId="5" fillId="0" fontId="9" numFmtId="10" xfId="0" applyBorder="1" applyFont="1" applyNumberFormat="1"/>
    <xf borderId="0" fillId="5" fontId="9" numFmtId="10" xfId="0" applyFont="1" applyNumberFormat="1"/>
    <xf borderId="0" fillId="0" fontId="11" numFmtId="10" xfId="0" applyFont="1" applyNumberFormat="1"/>
    <xf borderId="0" fillId="5" fontId="9" numFmtId="10" xfId="0" applyAlignment="1" applyFont="1" applyNumberFormat="1">
      <alignment vertical="bottom"/>
    </xf>
    <xf borderId="0" fillId="5" fontId="7" numFmtId="0" xfId="0" applyAlignment="1" applyFont="1">
      <alignment readingOrder="0"/>
    </xf>
    <xf borderId="0" fillId="7" fontId="11" numFmtId="0" xfId="0" applyAlignment="1" applyFill="1" applyFont="1">
      <alignment horizontal="center" readingOrder="0"/>
    </xf>
    <xf borderId="0" fillId="6" fontId="11" numFmtId="0" xfId="0" applyAlignment="1" applyFont="1">
      <alignment horizontal="center" readingOrder="0"/>
    </xf>
    <xf borderId="0" fillId="5" fontId="14" numFmtId="0" xfId="0" applyFont="1"/>
    <xf borderId="5" fillId="0" fontId="11" numFmtId="0" xfId="0" applyAlignment="1" applyBorder="1" applyFont="1">
      <alignment readingOrder="0"/>
    </xf>
    <xf borderId="5" fillId="0" fontId="15" numFmtId="0" xfId="0" applyAlignment="1" applyBorder="1" applyFont="1">
      <alignment horizontal="right" readingOrder="0"/>
    </xf>
    <xf borderId="0" fillId="5" fontId="19" numFmtId="4" xfId="0" applyFont="1" applyNumberFormat="1"/>
    <xf borderId="0" fillId="0" fontId="11" numFmtId="4" xfId="0" applyFont="1" applyNumberFormat="1"/>
    <xf borderId="5" fillId="0" fontId="11" numFmtId="4" xfId="0" applyBorder="1" applyFont="1" applyNumberFormat="1"/>
    <xf borderId="5" fillId="0" fontId="15" numFmtId="0" xfId="0" applyAlignment="1" applyBorder="1" applyFont="1">
      <alignment readingOrder="0"/>
    </xf>
    <xf borderId="0" fillId="0" fontId="15" numFmtId="3" xfId="0" applyAlignment="1" applyFont="1" applyNumberFormat="1">
      <alignment readingOrder="0"/>
    </xf>
    <xf borderId="0" fillId="0" fontId="15" numFmtId="4" xfId="0" applyFont="1" applyNumberFormat="1"/>
    <xf borderId="5" fillId="0" fontId="15" numFmtId="4" xfId="0" applyBorder="1" applyFont="1" applyNumberFormat="1"/>
    <xf borderId="0" fillId="5" fontId="19" numFmtId="4" xfId="0" applyAlignment="1" applyFont="1" applyNumberFormat="1">
      <alignment vertical="bottom"/>
    </xf>
    <xf borderId="8" fillId="5" fontId="14" numFmtId="0" xfId="0" applyBorder="1" applyFont="1"/>
    <xf borderId="0" fillId="0" fontId="1" numFmtId="0" xfId="0" applyAlignment="1" applyFont="1">
      <alignment horizontal="center" readingOrder="0"/>
    </xf>
    <xf borderId="5" fillId="0" fontId="8" numFmtId="0" xfId="0" applyBorder="1" applyFont="1"/>
    <xf borderId="0" fillId="0" fontId="20" numFmtId="0" xfId="0" applyFont="1"/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5" fillId="0" fontId="5" numFmtId="4" xfId="0" applyAlignment="1" applyBorder="1" applyFont="1" applyNumberFormat="1">
      <alignment readingOrder="0"/>
    </xf>
    <xf borderId="0" fillId="0" fontId="2" numFmtId="4" xfId="0" applyFont="1" applyNumberFormat="1"/>
    <xf borderId="5" fillId="0" fontId="2" numFmtId="4" xfId="0" applyBorder="1" applyFont="1" applyNumberFormat="1"/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horizontal="center"/>
    </xf>
    <xf borderId="0" fillId="0" fontId="20" numFmtId="0" xfId="0" applyAlignment="1" applyFont="1">
      <alignment readingOrder="0"/>
    </xf>
    <xf borderId="0" fillId="0" fontId="20" numFmtId="4" xfId="0" applyFont="1" applyNumberFormat="1"/>
    <xf borderId="5" fillId="0" fontId="20" numFmtId="4" xfId="0" applyBorder="1" applyFont="1" applyNumberFormat="1"/>
    <xf borderId="0" fillId="0" fontId="21" numFmtId="0" xfId="0" applyAlignment="1" applyFont="1">
      <alignment readingOrder="0"/>
    </xf>
    <xf borderId="0" fillId="3" fontId="22" numFmtId="4" xfId="0" applyAlignment="1" applyFont="1" applyNumberFormat="1">
      <alignment horizontal="center"/>
    </xf>
    <xf borderId="5" fillId="0" fontId="20" numFmtId="0" xfId="0" applyBorder="1" applyFont="1"/>
    <xf borderId="0" fillId="0" fontId="23" numFmtId="0" xfId="0" applyAlignment="1" applyFont="1">
      <alignment horizontal="center" readingOrder="0"/>
    </xf>
    <xf borderId="0" fillId="0" fontId="5" numFmtId="4" xfId="0" applyAlignment="1" applyFont="1" applyNumberFormat="1">
      <alignment readingOrder="0"/>
    </xf>
    <xf borderId="5" fillId="0" fontId="5" numFmtId="4" xfId="0" applyAlignment="1" applyBorder="1" applyFont="1" applyNumberFormat="1">
      <alignment readingOrder="0"/>
    </xf>
    <xf borderId="0" fillId="0" fontId="5" numFmtId="4" xfId="0" applyAlignment="1" applyFont="1" applyNumberFormat="1">
      <alignment horizontal="center" readingOrder="0"/>
    </xf>
    <xf borderId="0" fillId="0" fontId="5" numFmtId="4" xfId="0" applyAlignment="1" applyFont="1" applyNumberFormat="1">
      <alignment horizontal="center" readingOrder="0"/>
    </xf>
    <xf borderId="0" fillId="0" fontId="24" numFmtId="0" xfId="0" applyFont="1"/>
    <xf borderId="5" fillId="0" fontId="24" numFmtId="0" xfId="0" applyBorder="1" applyFont="1"/>
    <xf borderId="0" fillId="0" fontId="24" numFmtId="0" xfId="0" applyAlignment="1" applyFont="1">
      <alignment readingOrder="0"/>
    </xf>
    <xf borderId="0" fillId="0" fontId="2" numFmtId="4" xfId="0" applyAlignment="1" applyFont="1" applyNumberFormat="1">
      <alignment horizontal="center"/>
    </xf>
    <xf borderId="0" fillId="3" fontId="3" numFmtId="4" xfId="0" applyAlignment="1" applyFont="1" applyNumberFormat="1">
      <alignment horizontal="center"/>
    </xf>
    <xf borderId="5" fillId="0" fontId="2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5" numFmtId="10" xfId="0" applyAlignment="1" applyFont="1" applyNumberFormat="1">
      <alignment readingOrder="0"/>
    </xf>
    <xf borderId="0" fillId="0" fontId="2" numFmtId="4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5" fillId="0" fontId="2" numFmtId="164" xfId="0" applyAlignment="1" applyBorder="1" applyFont="1" applyNumberFormat="1">
      <alignment horizontal="right" vertical="bottom"/>
    </xf>
    <xf borderId="0" fillId="0" fontId="4" numFmtId="10" xfId="0" applyAlignment="1" applyFont="1" applyNumberFormat="1">
      <alignment horizontal="center" readingOrder="0"/>
    </xf>
    <xf borderId="0" fillId="0" fontId="2" numFmtId="10" xfId="0" applyFont="1" applyNumberFormat="1"/>
    <xf borderId="5" fillId="0" fontId="2" numFmtId="10" xfId="0" applyBorder="1" applyFont="1" applyNumberFormat="1"/>
    <xf borderId="0" fillId="0" fontId="3" numFmtId="10" xfId="0" applyAlignment="1" applyFont="1" applyNumberFormat="1">
      <alignment horizontal="center"/>
    </xf>
    <xf borderId="5" fillId="0" fontId="3" numFmtId="4" xfId="0" applyAlignment="1" applyBorder="1" applyFont="1" applyNumberFormat="1">
      <alignment horizontal="center"/>
    </xf>
    <xf borderId="0" fillId="5" fontId="2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25" numFmtId="0" xfId="0" applyFont="1"/>
    <xf borderId="0" fillId="5" fontId="3" numFmtId="0" xfId="0" applyFont="1"/>
    <xf borderId="5" fillId="0" fontId="3" numFmtId="0" xfId="0" applyAlignment="1" applyBorder="1" applyFont="1">
      <alignment readingOrder="0"/>
    </xf>
    <xf borderId="0" fillId="0" fontId="26" numFmtId="0" xfId="0" applyFont="1"/>
    <xf borderId="0" fillId="0" fontId="2" numFmtId="0" xfId="0" applyAlignment="1" applyFont="1">
      <alignment horizontal="right" readingOrder="0"/>
    </xf>
    <xf borderId="5" fillId="0" fontId="2" numFmtId="0" xfId="0" applyAlignment="1" applyBorder="1" applyFont="1">
      <alignment horizontal="right" readingOrder="0"/>
    </xf>
    <xf borderId="5" fillId="0" fontId="2" numFmtId="164" xfId="0" applyBorder="1" applyFont="1" applyNumberFormat="1"/>
    <xf borderId="0" fillId="5" fontId="2" numFmtId="0" xfId="0" applyFont="1"/>
    <xf borderId="0" fillId="3" fontId="2" numFmtId="4" xfId="0" applyFont="1" applyNumberFormat="1"/>
    <xf borderId="5" fillId="3" fontId="2" numFmtId="4" xfId="0" applyBorder="1" applyFont="1" applyNumberFormat="1"/>
    <xf borderId="0" fillId="3" fontId="2" numFmtId="164" xfId="0" applyFont="1" applyNumberFormat="1"/>
    <xf borderId="5" fillId="3" fontId="2" numFmtId="164" xfId="0" applyBorder="1" applyFont="1" applyNumberFormat="1"/>
    <xf borderId="0" fillId="0" fontId="2" numFmtId="4" xfId="0" applyAlignment="1" applyFont="1" applyNumberFormat="1">
      <alignment readingOrder="0"/>
    </xf>
    <xf borderId="5" fillId="0" fontId="2" numFmtId="4" xfId="0" applyAlignment="1" applyBorder="1" applyFont="1" applyNumberFormat="1">
      <alignment readingOrder="0"/>
    </xf>
    <xf borderId="0" fillId="5" fontId="3" numFmtId="0" xfId="0" applyAlignment="1" applyFont="1">
      <alignment vertical="bottom"/>
    </xf>
    <xf borderId="5" fillId="0" fontId="2" numFmtId="0" xfId="0" applyAlignment="1" applyBorder="1" applyFont="1">
      <alignment readingOrder="0"/>
    </xf>
    <xf borderId="0" fillId="0" fontId="20" numFmtId="4" xfId="0" applyAlignment="1" applyFont="1" applyNumberFormat="1">
      <alignment horizontal="right" readingOrder="0" vertical="bottom"/>
    </xf>
    <xf borderId="0" fillId="5" fontId="3" numFmtId="0" xfId="0" applyAlignment="1" applyFont="1">
      <alignment readingOrder="0"/>
    </xf>
    <xf borderId="0" fillId="5" fontId="25" numFmtId="0" xfId="0" applyAlignment="1" applyFont="1">
      <alignment vertical="bottom"/>
    </xf>
    <xf borderId="5" fillId="0" fontId="25" numFmtId="0" xfId="0" applyBorder="1" applyFont="1"/>
    <xf borderId="0" fillId="0" fontId="22" numFmtId="0" xfId="0" applyAlignment="1" applyFont="1">
      <alignment readingOrder="0"/>
    </xf>
    <xf borderId="0" fillId="0" fontId="22" numFmtId="0" xfId="0" applyFont="1"/>
    <xf borderId="0" fillId="0" fontId="21" numFmtId="0" xfId="0" applyAlignment="1" applyFont="1">
      <alignment horizontal="center" readingOrder="0"/>
    </xf>
    <xf borderId="1" fillId="0" fontId="22" numFmtId="0" xfId="0" applyAlignment="1" applyBorder="1" applyFont="1">
      <alignment readingOrder="0"/>
    </xf>
    <xf borderId="0" fillId="4" fontId="5" numFmtId="4" xfId="0" applyAlignment="1" applyFont="1" applyNumberFormat="1">
      <alignment readingOrder="0"/>
    </xf>
    <xf borderId="0" fillId="4" fontId="2" numFmtId="4" xfId="0" applyAlignment="1" applyFont="1" applyNumberFormat="1">
      <alignment readingOrder="0"/>
    </xf>
    <xf borderId="0" fillId="3" fontId="5" numFmtId="4" xfId="0" applyAlignment="1" applyFont="1" applyNumberFormat="1">
      <alignment readingOrder="0"/>
    </xf>
    <xf borderId="1" fillId="0" fontId="3" numFmtId="0" xfId="0" applyAlignment="1" applyBorder="1" applyFont="1">
      <alignment horizontal="left" readingOrder="0"/>
    </xf>
    <xf borderId="0" fillId="2" fontId="2" numFmtId="0" xfId="0" applyAlignment="1" applyFont="1">
      <alignment readingOrder="0"/>
    </xf>
    <xf borderId="0" fillId="2" fontId="2" numFmtId="4" xfId="0" applyFont="1" applyNumberFormat="1"/>
    <xf borderId="1" fillId="0" fontId="3" numFmtId="0" xfId="0" applyAlignment="1" applyBorder="1" applyFont="1">
      <alignment readingOrder="0"/>
    </xf>
    <xf borderId="0" fillId="0" fontId="27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5" fillId="0" fontId="5" numFmtId="3" xfId="0" applyAlignment="1" applyBorder="1" applyFont="1" applyNumberFormat="1">
      <alignment readingOrder="0"/>
    </xf>
    <xf borderId="0" fillId="3" fontId="5" numFmtId="3" xfId="0" applyAlignment="1" applyFont="1" applyNumberFormat="1">
      <alignment readingOrder="0"/>
    </xf>
    <xf borderId="0" fillId="0" fontId="21" numFmtId="4" xfId="0" applyAlignment="1" applyFont="1" applyNumberFormat="1">
      <alignment readingOrder="0"/>
    </xf>
    <xf borderId="0" fillId="3" fontId="28" numFmtId="4" xfId="0" applyFont="1" applyNumberFormat="1"/>
    <xf borderId="5" fillId="3" fontId="28" numFmtId="4" xfId="0" applyBorder="1" applyFont="1" applyNumberFormat="1"/>
    <xf borderId="0" fillId="0" fontId="23" numFmtId="4" xfId="0" applyAlignment="1" applyFont="1" applyNumberFormat="1">
      <alignment readingOrder="0"/>
    </xf>
    <xf borderId="0" fillId="3" fontId="1" numFmtId="4" xfId="0" applyAlignment="1" applyFont="1" applyNumberFormat="1">
      <alignment horizontal="center"/>
    </xf>
    <xf borderId="0" fillId="0" fontId="23" numFmtId="0" xfId="0" applyAlignment="1" applyFont="1">
      <alignment readingOrder="0"/>
    </xf>
    <xf borderId="0" fillId="0" fontId="1" numFmtId="4" xfId="0" applyAlignment="1" applyFont="1" applyNumberFormat="1">
      <alignment horizontal="center"/>
    </xf>
    <xf borderId="0" fillId="2" fontId="11" numFmtId="0" xfId="0" applyAlignment="1" applyFont="1">
      <alignment horizontal="center" readingOrder="0"/>
    </xf>
    <xf borderId="0" fillId="0" fontId="11" numFmtId="0" xfId="0" applyAlignment="1" applyFont="1">
      <alignment horizontal="right" readingOrder="0"/>
    </xf>
    <xf borderId="5" fillId="0" fontId="11" numFmtId="0" xfId="0" applyAlignment="1" applyBorder="1" applyFont="1">
      <alignment horizontal="right" readingOrder="0"/>
    </xf>
    <xf borderId="1" fillId="0" fontId="15" numFmtId="0" xfId="0" applyAlignment="1" applyBorder="1" applyFont="1">
      <alignment horizontal="right" readingOrder="0"/>
    </xf>
    <xf borderId="4" fillId="0" fontId="15" numFmtId="0" xfId="0" applyBorder="1" applyFont="1"/>
    <xf borderId="1" fillId="0" fontId="15" numFmtId="0" xfId="0" applyBorder="1" applyFont="1"/>
    <xf borderId="0" fillId="5" fontId="29" numFmtId="0" xfId="0" applyAlignment="1" applyFont="1">
      <alignment vertical="bottom"/>
    </xf>
    <xf borderId="0" fillId="0" fontId="15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Profit Margin (%)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Lindt &amp; Sprungli</c:v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'Profitability Ratio'!$B$2:$F$2</c:f>
            </c:strRef>
          </c:cat>
          <c:val>
            <c:numRef>
              <c:f>'Profitability Ratio'!$B$10:$F$10</c:f>
              <c:numCache/>
            </c:numRef>
          </c:val>
        </c:ser>
        <c:ser>
          <c:idx val="1"/>
          <c:order val="1"/>
          <c:tx>
            <c:v>Hershey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'Profitability Ratio'!$B$2:$F$2</c:f>
            </c:strRef>
          </c:cat>
          <c:val>
            <c:numRef>
              <c:f>'Profitability Ratio'!$B$10:$F$10</c:f>
              <c:numCache/>
            </c:numRef>
          </c:val>
        </c:ser>
        <c:ser>
          <c:idx val="2"/>
          <c:order val="2"/>
          <c:cat>
            <c:strRef>
              <c:f>'Profitability Ratio'!$B$2:$F$2</c:f>
            </c:strRef>
          </c:cat>
          <c:val>
            <c:numRef>
              <c:f>'Profitability Ratio'!$G$10:$K$10</c:f>
              <c:numCache/>
            </c:numRef>
          </c:val>
        </c:ser>
        <c:ser>
          <c:idx val="3"/>
          <c:order val="3"/>
          <c:cat>
            <c:strRef>
              <c:f>'Profitability Ratio'!$B$2:$F$2</c:f>
            </c:strRef>
          </c:cat>
          <c:val>
            <c:numRef>
              <c:f>'Profitability Ratio'!$B$10:$F$10</c:f>
              <c:numCache/>
            </c:numRef>
          </c:val>
        </c:ser>
        <c:axId val="1908935170"/>
        <c:axId val="902507789"/>
      </c:barChart>
      <c:catAx>
        <c:axId val="19089351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507789"/>
      </c:catAx>
      <c:valAx>
        <c:axId val="9025077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Profit Margin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9351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Return on Assets (ROA)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Lindt &amp; Sprungli</c:v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'Profitability Ratio'!$B$2:$F$2</c:f>
            </c:strRef>
          </c:cat>
          <c:val>
            <c:numRef>
              <c:f>'Profitability Ratio'!$B$12:$F$12</c:f>
              <c:numCache/>
            </c:numRef>
          </c:val>
        </c:ser>
        <c:ser>
          <c:idx val="1"/>
          <c:order val="1"/>
          <c:tx>
            <c:v>Hershey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'Profitability Ratio'!$B$2:$F$2</c:f>
            </c:strRef>
          </c:cat>
          <c:val>
            <c:numRef>
              <c:f>'Profitability Ratio'!$G$12:$K$12</c:f>
              <c:numCache/>
            </c:numRef>
          </c:val>
        </c:ser>
        <c:axId val="634074891"/>
        <c:axId val="198705838"/>
      </c:bar3DChart>
      <c:catAx>
        <c:axId val="634074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05838"/>
      </c:catAx>
      <c:valAx>
        <c:axId val="198705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Return on Assets (ROA)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074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Ratio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Lindt &amp; Sprungli</c:v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'Liquidity and Efficiency Ratios'!$B$2:$F$2</c:f>
            </c:strRef>
          </c:cat>
          <c:val>
            <c:numRef>
              <c:f>'Liquidity and Efficiency Ratios'!$B$6:$F$6</c:f>
              <c:numCache/>
            </c:numRef>
          </c:val>
        </c:ser>
        <c:ser>
          <c:idx val="1"/>
          <c:order val="1"/>
          <c:tx>
            <c:v>Hershey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'Liquidity and Efficiency Ratios'!$B$2:$F$2</c:f>
            </c:strRef>
          </c:cat>
          <c:val>
            <c:numRef>
              <c:f>'Liquidity and Efficiency Ratios'!$G$6:$K$6</c:f>
              <c:numCache/>
            </c:numRef>
          </c:val>
        </c:ser>
        <c:axId val="944701658"/>
        <c:axId val="1478653032"/>
      </c:barChart>
      <c:catAx>
        <c:axId val="9447016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653032"/>
      </c:catAx>
      <c:valAx>
        <c:axId val="1478653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7016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Interest Coverage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Lindt &amp; Sprungli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'Interest Coverage Ratio'!$B$6:$F$6</c:f>
              <c:numCache/>
            </c:numRef>
          </c:val>
        </c:ser>
        <c:ser>
          <c:idx val="1"/>
          <c:order val="1"/>
          <c:tx>
            <c:v>Hershey's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'Interest Coverage Ratio'!$H$8:$L$8</c:f>
              <c:numCache/>
            </c:numRef>
          </c:val>
        </c:ser>
        <c:axId val="102045347"/>
        <c:axId val="733630710"/>
      </c:barChart>
      <c:catAx>
        <c:axId val="102045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630710"/>
      </c:catAx>
      <c:valAx>
        <c:axId val="733630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45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Altman's Z-Score for Hershey's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 w="9525">
              <a:solidFill>
                <a:srgbClr val="000000"/>
              </a:solidFill>
            </a:ln>
          </c:spPr>
          <c:cat>
            <c:strRef>
              <c:f>'Altmans Z-Score'!$G$12</c:f>
            </c:strRef>
          </c:cat>
          <c:val>
            <c:numRef>
              <c:f>'Altmans Z-Score'!$H$12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'Altmans Z-Score'!$G$12</c:f>
            </c:strRef>
          </c:cat>
          <c:val>
            <c:numRef>
              <c:f>'Altmans Z-Score'!$I$12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'Altmans Z-Score'!$G$12</c:f>
            </c:strRef>
          </c:cat>
          <c:val>
            <c:numRef>
              <c:f>'Altmans Z-Score'!$J$12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'Altmans Z-Score'!$G$12</c:f>
            </c:strRef>
          </c:cat>
          <c:val>
            <c:numRef>
              <c:f>'Altmans Z-Score'!$K$12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'Altmans Z-Score'!$G$12</c:f>
            </c:strRef>
          </c:cat>
          <c:val>
            <c:numRef>
              <c:f>'Altmans Z-Score'!$L$12</c:f>
              <c:numCache/>
            </c:numRef>
          </c:val>
        </c:ser>
        <c:axId val="529206550"/>
        <c:axId val="762889158"/>
      </c:barChart>
      <c:catAx>
        <c:axId val="529206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889158"/>
      </c:catAx>
      <c:valAx>
        <c:axId val="762889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206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Altman's Z-Score for Lindt &amp; Sprungli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'Altmans Z-Score'!$A$12</c:f>
            </c:strRef>
          </c:cat>
          <c:val>
            <c:numRef>
              <c:f>'Altmans Z-Score'!$B$12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'Altmans Z-Score'!$A$12</c:f>
            </c:strRef>
          </c:cat>
          <c:val>
            <c:numRef>
              <c:f>'Altmans Z-Score'!$C$12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'Altmans Z-Score'!$A$12</c:f>
            </c:strRef>
          </c:cat>
          <c:val>
            <c:numRef>
              <c:f>'Altmans Z-Score'!$D$12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'Altmans Z-Score'!$A$12</c:f>
            </c:strRef>
          </c:cat>
          <c:val>
            <c:numRef>
              <c:f>'Altmans Z-Score'!$E$12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'Altmans Z-Score'!$A$12</c:f>
            </c:strRef>
          </c:cat>
          <c:val>
            <c:numRef>
              <c:f>'Altmans Z-Score'!$F$12</c:f>
              <c:numCache/>
            </c:numRef>
          </c:val>
        </c:ser>
        <c:axId val="76252355"/>
        <c:axId val="537608378"/>
      </c:barChart>
      <c:catAx>
        <c:axId val="76252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608378"/>
      </c:catAx>
      <c:valAx>
        <c:axId val="537608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52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15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19</xdr:row>
      <xdr:rowOff>180975</xdr:rowOff>
    </xdr:from>
    <xdr:ext cx="4324350" cy="2486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371475</xdr:colOff>
      <xdr:row>19</xdr:row>
      <xdr:rowOff>180975</xdr:rowOff>
    </xdr:from>
    <xdr:ext cx="4038600" cy="2352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38"/>
  </cols>
  <sheetData>
    <row r="1">
      <c r="A1" s="1" t="s">
        <v>0</v>
      </c>
      <c r="B1" s="2">
        <v>2021.0</v>
      </c>
      <c r="C1" s="2">
        <v>2020.0</v>
      </c>
      <c r="D1" s="2">
        <v>2019.0</v>
      </c>
      <c r="E1" s="2">
        <v>2018.0</v>
      </c>
      <c r="F1" s="2">
        <v>2017.0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3</v>
      </c>
      <c r="B5" s="9">
        <v>329266.0</v>
      </c>
      <c r="C5" s="9">
        <v>1143987.0</v>
      </c>
      <c r="D5" s="9">
        <v>493262.0</v>
      </c>
      <c r="E5" s="9">
        <v>587998.0</v>
      </c>
      <c r="F5" s="9">
        <v>380179.0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4</v>
      </c>
      <c r="B6" s="9">
        <v>671464.0</v>
      </c>
      <c r="C6" s="10">
        <v>615233.0</v>
      </c>
      <c r="D6" s="9">
        <v>568509.0</v>
      </c>
      <c r="E6" s="9">
        <v>594145.0</v>
      </c>
      <c r="F6" s="9">
        <v>588262.0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5</v>
      </c>
      <c r="B7" s="11">
        <v>988511.0</v>
      </c>
      <c r="C7" s="12">
        <v>964207.0</v>
      </c>
      <c r="D7" s="12">
        <v>815251.0</v>
      </c>
      <c r="E7" s="12">
        <v>784879.0</v>
      </c>
      <c r="F7" s="12">
        <v>752836.0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6</v>
      </c>
      <c r="B8" s="9">
        <v>256965.0</v>
      </c>
      <c r="C8" s="10">
        <v>254478.0</v>
      </c>
      <c r="D8" s="9">
        <v>240080.0</v>
      </c>
      <c r="E8" s="9">
        <v>272159.0</v>
      </c>
      <c r="F8" s="9">
        <v>280633.0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7</v>
      </c>
      <c r="B9" s="13">
        <f t="shared" ref="B9:F9" si="1">B5+B6+B7+B8</f>
        <v>2246206</v>
      </c>
      <c r="C9" s="13">
        <f t="shared" si="1"/>
        <v>2977905</v>
      </c>
      <c r="D9" s="13">
        <f t="shared" si="1"/>
        <v>2117102</v>
      </c>
      <c r="E9" s="13">
        <f t="shared" si="1"/>
        <v>2239181</v>
      </c>
      <c r="F9" s="13">
        <f t="shared" si="1"/>
        <v>2001910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8</v>
      </c>
      <c r="B10" s="9">
        <v>2586187.0</v>
      </c>
      <c r="C10" s="10">
        <v>2285255.0</v>
      </c>
      <c r="D10" s="9">
        <v>2153139.0</v>
      </c>
      <c r="E10" s="9">
        <v>2130294.0</v>
      </c>
      <c r="F10" s="9">
        <v>2106697.0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9</v>
      </c>
      <c r="B11" s="9">
        <v>2633174.0</v>
      </c>
      <c r="C11" s="10">
        <v>1988215.0</v>
      </c>
      <c r="D11" s="9">
        <v>1985955.0</v>
      </c>
      <c r="E11" s="9">
        <v>1801103.0</v>
      </c>
      <c r="F11" s="9">
        <v>821061.0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10</v>
      </c>
      <c r="B12" s="9">
        <v>2037588.0</v>
      </c>
      <c r="C12" s="10">
        <v>1295214.0</v>
      </c>
      <c r="D12" s="9">
        <v>1341166.0</v>
      </c>
      <c r="E12" s="9">
        <v>1278292.0</v>
      </c>
      <c r="F12" s="9">
        <v>369156.0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11</v>
      </c>
      <c r="B13" s="9">
        <v>868203.0</v>
      </c>
      <c r="C13" s="10">
        <v>555887.0</v>
      </c>
      <c r="D13" s="9">
        <v>512000.0</v>
      </c>
      <c r="E13" s="9">
        <v>252984.0</v>
      </c>
      <c r="F13" s="9">
        <v>251879.0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12</v>
      </c>
      <c r="B14" s="9">
        <v>40873.0</v>
      </c>
      <c r="C14" s="10">
        <v>29369.0</v>
      </c>
      <c r="D14" s="9">
        <v>31033.0</v>
      </c>
      <c r="E14" s="9">
        <v>1166.0</v>
      </c>
      <c r="F14" s="9">
        <v>3023.0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" t="s">
        <v>13</v>
      </c>
      <c r="B15" s="14">
        <f t="shared" ref="B15:F15" si="2">B9+B10+B11+B12+B13+B14</f>
        <v>10412231</v>
      </c>
      <c r="C15" s="14">
        <f t="shared" si="2"/>
        <v>9131845</v>
      </c>
      <c r="D15" s="14">
        <f t="shared" si="2"/>
        <v>8140395</v>
      </c>
      <c r="E15" s="14">
        <f t="shared" si="2"/>
        <v>7703020</v>
      </c>
      <c r="F15" s="14">
        <f t="shared" si="2"/>
        <v>5553726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" t="s">
        <v>14</v>
      </c>
      <c r="B16" s="15"/>
      <c r="C16" s="7"/>
      <c r="D16" s="7"/>
      <c r="E16" s="7"/>
      <c r="F16" s="1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 t="s">
        <v>16</v>
      </c>
      <c r="B18" s="9">
        <v>692338.0</v>
      </c>
      <c r="C18" s="10">
        <v>580058.0</v>
      </c>
      <c r="D18" s="9">
        <v>550828.0</v>
      </c>
      <c r="E18" s="9">
        <v>502314.0</v>
      </c>
      <c r="F18" s="9">
        <v>523229.0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 t="s">
        <v>17</v>
      </c>
      <c r="B19" s="9">
        <v>855638.0</v>
      </c>
      <c r="C19" s="10">
        <v>781766.0</v>
      </c>
      <c r="D19" s="9">
        <v>702372.0</v>
      </c>
      <c r="E19" s="9">
        <v>679163.0</v>
      </c>
      <c r="F19" s="9">
        <v>676134.0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 t="s">
        <v>18</v>
      </c>
      <c r="B20" s="9">
        <v>3070.0</v>
      </c>
      <c r="C20" s="10">
        <v>17051.0</v>
      </c>
      <c r="D20" s="9">
        <v>19921.0</v>
      </c>
      <c r="E20" s="9">
        <v>33773.0</v>
      </c>
      <c r="F20" s="9">
        <v>17723.0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 t="s">
        <v>19</v>
      </c>
      <c r="B21" s="9">
        <v>939423.0</v>
      </c>
      <c r="C21" s="10">
        <v>74041.0</v>
      </c>
      <c r="D21" s="9">
        <v>32282.0</v>
      </c>
      <c r="E21" s="9">
        <v>1197929.0</v>
      </c>
      <c r="F21" s="9">
        <v>559359.0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 t="s">
        <v>20</v>
      </c>
      <c r="B22" s="9">
        <v>2844.0</v>
      </c>
      <c r="C22" s="10">
        <v>438829.0</v>
      </c>
      <c r="D22" s="9">
        <v>703390.0</v>
      </c>
      <c r="E22" s="9">
        <v>5387.0</v>
      </c>
      <c r="F22" s="9">
        <v>300098.0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 t="s">
        <v>21</v>
      </c>
      <c r="B23" s="16">
        <f t="shared" ref="B23:F23" si="3">B18+B19+B20+B21+B22</f>
        <v>2493313</v>
      </c>
      <c r="C23" s="16">
        <f t="shared" si="3"/>
        <v>1891745</v>
      </c>
      <c r="D23" s="16">
        <f t="shared" si="3"/>
        <v>2008793</v>
      </c>
      <c r="E23" s="16">
        <f t="shared" si="3"/>
        <v>2418566</v>
      </c>
      <c r="F23" s="16">
        <f t="shared" si="3"/>
        <v>2076543</v>
      </c>
      <c r="G23" s="7"/>
      <c r="H23" s="1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 t="s">
        <v>22</v>
      </c>
      <c r="B24" s="9">
        <v>4086627.0</v>
      </c>
      <c r="C24" s="10">
        <v>4089755.0</v>
      </c>
      <c r="D24" s="9">
        <v>3530813.0</v>
      </c>
      <c r="E24" s="9">
        <v>3254280.0</v>
      </c>
      <c r="F24" s="9">
        <v>2061023.0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 t="s">
        <v>23</v>
      </c>
      <c r="B25" s="9">
        <v>787058.0</v>
      </c>
      <c r="C25" s="10">
        <v>683434.0</v>
      </c>
      <c r="D25" s="9">
        <v>655777.0</v>
      </c>
      <c r="E25" s="9">
        <v>446048.0</v>
      </c>
      <c r="F25" s="9">
        <v>438939.0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 t="s">
        <v>12</v>
      </c>
      <c r="B26" s="9">
        <v>288004.0</v>
      </c>
      <c r="C26" s="10">
        <v>229028.0</v>
      </c>
      <c r="D26" s="9">
        <v>200018.0</v>
      </c>
      <c r="E26" s="9">
        <v>176860.0</v>
      </c>
      <c r="F26" s="9">
        <v>45656.0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" t="s">
        <v>24</v>
      </c>
      <c r="B27" s="14">
        <f t="shared" ref="B27:F27" si="4">B23+B24+B25+B26</f>
        <v>7655002</v>
      </c>
      <c r="C27" s="14">
        <f t="shared" si="4"/>
        <v>6893962</v>
      </c>
      <c r="D27" s="14">
        <f t="shared" si="4"/>
        <v>6395401</v>
      </c>
      <c r="E27" s="14">
        <f t="shared" si="4"/>
        <v>6295754</v>
      </c>
      <c r="F27" s="14">
        <f t="shared" si="4"/>
        <v>4622161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/>
      <c r="B28" s="15"/>
      <c r="C28" s="7"/>
      <c r="D28" s="15"/>
      <c r="E28" s="1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" t="s">
        <v>25</v>
      </c>
      <c r="B29" s="15"/>
      <c r="C29" s="7"/>
      <c r="D29" s="15"/>
      <c r="E29" s="1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 t="s">
        <v>27</v>
      </c>
      <c r="B31" s="18" t="s">
        <v>28</v>
      </c>
      <c r="C31" s="18" t="s">
        <v>28</v>
      </c>
      <c r="D31" s="18" t="s">
        <v>28</v>
      </c>
      <c r="E31" s="18" t="s">
        <v>28</v>
      </c>
      <c r="F31" s="18" t="s">
        <v>28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9" t="s">
        <v>29</v>
      </c>
      <c r="B32" s="12">
        <v>160939.0</v>
      </c>
      <c r="C32" s="12">
        <v>160939.0</v>
      </c>
      <c r="D32" s="12">
        <v>160939.0</v>
      </c>
      <c r="E32" s="12">
        <v>299287.0</v>
      </c>
      <c r="F32" s="12">
        <v>299281.0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 t="s">
        <v>30</v>
      </c>
      <c r="B33" s="9">
        <v>60614.0</v>
      </c>
      <c r="C33" s="10">
        <v>60614.0</v>
      </c>
      <c r="D33" s="9">
        <v>60614.0</v>
      </c>
      <c r="E33" s="9">
        <v>60614.0</v>
      </c>
      <c r="F33" s="9">
        <v>60620.0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 t="s">
        <v>31</v>
      </c>
      <c r="B34" s="9">
        <v>1260331.0</v>
      </c>
      <c r="C34" s="10">
        <v>1191200.0</v>
      </c>
      <c r="D34" s="9">
        <v>1142210.0</v>
      </c>
      <c r="E34" s="9">
        <v>982205.0</v>
      </c>
      <c r="F34" s="9">
        <v>924978.0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 t="s">
        <v>32</v>
      </c>
      <c r="B35" s="9">
        <v>2719936.0</v>
      </c>
      <c r="C35" s="10">
        <v>1928673.0</v>
      </c>
      <c r="D35" s="9">
        <v>1290461.0</v>
      </c>
      <c r="E35" s="9">
        <v>7032020.0</v>
      </c>
      <c r="F35" s="9">
        <v>6371082.0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 t="s">
        <v>33</v>
      </c>
      <c r="B36" s="9">
        <v>-1195376.0</v>
      </c>
      <c r="C36" s="10">
        <v>-768992.0</v>
      </c>
      <c r="D36" s="9">
        <v>-591036.0</v>
      </c>
      <c r="E36" s="9">
        <v>-6618625.0</v>
      </c>
      <c r="F36" s="9">
        <v>-6426877.0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 t="s">
        <v>34</v>
      </c>
      <c r="B37" s="9">
        <v>-249215.0</v>
      </c>
      <c r="C37" s="10">
        <v>-338082.0</v>
      </c>
      <c r="D37" s="9">
        <v>-323966.0</v>
      </c>
      <c r="E37" s="9">
        <v>-356780.0</v>
      </c>
      <c r="F37" s="9">
        <v>-313746.0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 t="s">
        <v>35</v>
      </c>
      <c r="B38" s="13">
        <f t="shared" ref="B38:F38" si="5">B32+B33+B34+B35+B36+B37</f>
        <v>2757229</v>
      </c>
      <c r="C38" s="13">
        <f t="shared" si="5"/>
        <v>2234352</v>
      </c>
      <c r="D38" s="13">
        <f t="shared" si="5"/>
        <v>1739222</v>
      </c>
      <c r="E38" s="13">
        <f t="shared" si="5"/>
        <v>1398721</v>
      </c>
      <c r="F38" s="13">
        <f t="shared" si="5"/>
        <v>915338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 t="s">
        <v>36</v>
      </c>
      <c r="B39" s="15"/>
      <c r="C39" s="9">
        <v>3531.0</v>
      </c>
      <c r="D39" s="9">
        <v>5772.0</v>
      </c>
      <c r="E39" s="9">
        <v>8545.0</v>
      </c>
      <c r="F39" s="9">
        <v>16227.0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 t="s">
        <v>37</v>
      </c>
      <c r="B40" s="13">
        <v>2757229.0</v>
      </c>
      <c r="C40" s="20">
        <f t="shared" ref="C40:F40" si="6">C38+C39</f>
        <v>2237883</v>
      </c>
      <c r="D40" s="20">
        <f t="shared" si="6"/>
        <v>1744994</v>
      </c>
      <c r="E40" s="20">
        <f t="shared" si="6"/>
        <v>1407266</v>
      </c>
      <c r="F40" s="20">
        <f t="shared" si="6"/>
        <v>931565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 t="s">
        <v>38</v>
      </c>
      <c r="B41" s="9">
        <v>1.0412231E7</v>
      </c>
      <c r="C41" s="10">
        <v>9131845.0</v>
      </c>
      <c r="D41" s="9">
        <v>8140395.0</v>
      </c>
      <c r="E41" s="9">
        <v>7703020.0</v>
      </c>
      <c r="F41" s="9">
        <v>5553726.0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1"/>
      <c r="B42" s="15"/>
      <c r="C42" s="7"/>
      <c r="D42" s="15"/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2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2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2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2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2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2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2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2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2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2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2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2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2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2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2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2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2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2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2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2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2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2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2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2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2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2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2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2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2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2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2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2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2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2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2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2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2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2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2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2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2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2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2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2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2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2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2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2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2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2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2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2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2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2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2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2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2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2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2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2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2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2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2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2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2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2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2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2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2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2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2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2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2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2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2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2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2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2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2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2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2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2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2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2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2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2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2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2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2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2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2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2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2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2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2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2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2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2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2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2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2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2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2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2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2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2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2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2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2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2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2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2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2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2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2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2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2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2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2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2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2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2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2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22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22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22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22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22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22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22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22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22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22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22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22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22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22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22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22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22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22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22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22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22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22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22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22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22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22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22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22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22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22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22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22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22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22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22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22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22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22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22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22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22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22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22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22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22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22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22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22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22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22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22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22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22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22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22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22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22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22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22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22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22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22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22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22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22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22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22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22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22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22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22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22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22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22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22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22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22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22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22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22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22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22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22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2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22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22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22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22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22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22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22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22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22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22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22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22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22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22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22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22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22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22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22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22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22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22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22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22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22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22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22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22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22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22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22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22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22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22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22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22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22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22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22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22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22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22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22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22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22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22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22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22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22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22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22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22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22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22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22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22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22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22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22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22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22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22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22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22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22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22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22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22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22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22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22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22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22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22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22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22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2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22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2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2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22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22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22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22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22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22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22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2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22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22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22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22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22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2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22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22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22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22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22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22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22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22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22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22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22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22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22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22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22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22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2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22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22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22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22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22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22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22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2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2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22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22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22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22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22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22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22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22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22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22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22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22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22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22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22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22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22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22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22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22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22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22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22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22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22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22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22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22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22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22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22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22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22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22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22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22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22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22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22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22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22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22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22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22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22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22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22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22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22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22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22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22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22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22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22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22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22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22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22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22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22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22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22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22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22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22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22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22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22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22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22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22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22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22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22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22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22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22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22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22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22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22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22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22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22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22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22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22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22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22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22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22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22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22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22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2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22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22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22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22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22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22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22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22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22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22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22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22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22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22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22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22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22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22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22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22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22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22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22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22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22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22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22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22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22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22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22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22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22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22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22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22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22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22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22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22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22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22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22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22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22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22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22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22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22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22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22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22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22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22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22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22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22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22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22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22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22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22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22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22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22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22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22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22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22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22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22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22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22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22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22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22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22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22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22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22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22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22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22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22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22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22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22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22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22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22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22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22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22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22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22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22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22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22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22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22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22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22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22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22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22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22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22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22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22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22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22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22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22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22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22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22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22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22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22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22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22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22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22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22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22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22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22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22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22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22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22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22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22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22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22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22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22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22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22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22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22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22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22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22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22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22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22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22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22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22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22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22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22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22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22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22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22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22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22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22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22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22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22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22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22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22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22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22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22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22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22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22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22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22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22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22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22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22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22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22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22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22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22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22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22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22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22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22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22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2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22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22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22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22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22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22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22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22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22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22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22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22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22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22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22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22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22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22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22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22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22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22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22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22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22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22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22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22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22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22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22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22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22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22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22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22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22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22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22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22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22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22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22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22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22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22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22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22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22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22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22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22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22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22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22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22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22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22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22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2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22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22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22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22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22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22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22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22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22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22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22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22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22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22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22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22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22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22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22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22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22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22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22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22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22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22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22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22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22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22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22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22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22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22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22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22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22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22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22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22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22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22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22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22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22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22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22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22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22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22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22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22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22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22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22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22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22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22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22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22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22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22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22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22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22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22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22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22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22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22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22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22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22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22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22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2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22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22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22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22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22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22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22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22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22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22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22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22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22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22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22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22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22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22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22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22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22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22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22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22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22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22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22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22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22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22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22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22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22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22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22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22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22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22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22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22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22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22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22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22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22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22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22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22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22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22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22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22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22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22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22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22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22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22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22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22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22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22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22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22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22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22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22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22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22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22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22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22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22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22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22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22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22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22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22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22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22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22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22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22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22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22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22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22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22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22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22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22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22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22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22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22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22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2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22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22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22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2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22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22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22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22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22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22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22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22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22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22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22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22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22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22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22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22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22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22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22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22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22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22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22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22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22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22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22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22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22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22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22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22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22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22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22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22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22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22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22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22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22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22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7" max="7" width="24.25"/>
  </cols>
  <sheetData>
    <row r="1">
      <c r="A1" s="146" t="s">
        <v>73</v>
      </c>
      <c r="F1" s="147"/>
      <c r="G1" s="146" t="s">
        <v>74</v>
      </c>
    </row>
    <row r="2">
      <c r="A2" s="149" t="s">
        <v>0</v>
      </c>
      <c r="B2" s="149">
        <v>2021.0</v>
      </c>
      <c r="C2" s="149">
        <v>2020.0</v>
      </c>
      <c r="D2" s="149">
        <v>2019.0</v>
      </c>
      <c r="E2" s="149">
        <v>2018.0</v>
      </c>
      <c r="F2" s="150">
        <v>2017.0</v>
      </c>
      <c r="G2" s="149" t="s">
        <v>0</v>
      </c>
      <c r="H2" s="149">
        <v>2021.0</v>
      </c>
      <c r="I2" s="149">
        <v>2020.0</v>
      </c>
      <c r="J2" s="149">
        <v>2019.0</v>
      </c>
      <c r="K2" s="149">
        <v>2018.0</v>
      </c>
      <c r="L2" s="149">
        <v>2017.0</v>
      </c>
    </row>
    <row r="3">
      <c r="A3" s="151" t="s">
        <v>213</v>
      </c>
      <c r="B3" s="152">
        <v>25400.0</v>
      </c>
      <c r="C3" s="152">
        <v>28500.0</v>
      </c>
      <c r="D3" s="152">
        <v>35000.0</v>
      </c>
      <c r="E3" s="152">
        <v>18800.0</v>
      </c>
      <c r="F3" s="153">
        <v>15600.0</v>
      </c>
      <c r="G3" s="151" t="s">
        <v>214</v>
      </c>
      <c r="H3" s="152">
        <v>256965.0</v>
      </c>
      <c r="I3" s="152">
        <v>254478.0</v>
      </c>
      <c r="J3" s="152">
        <v>240080.0</v>
      </c>
      <c r="K3" s="152">
        <v>272159.0</v>
      </c>
      <c r="L3" s="152">
        <v>280633.0</v>
      </c>
    </row>
    <row r="4">
      <c r="A4" s="151" t="s">
        <v>207</v>
      </c>
      <c r="B4" s="152">
        <v>3901700.0</v>
      </c>
      <c r="C4" s="152">
        <v>3605300.0</v>
      </c>
      <c r="D4" s="152">
        <v>3944400.0</v>
      </c>
      <c r="E4" s="152">
        <v>3666600.0</v>
      </c>
      <c r="F4" s="153">
        <v>3447000.0</v>
      </c>
      <c r="G4" s="151" t="s">
        <v>213</v>
      </c>
      <c r="H4" s="152">
        <v>127417.0</v>
      </c>
      <c r="I4" s="152">
        <v>149374.0</v>
      </c>
      <c r="J4" s="152">
        <v>144125.0</v>
      </c>
      <c r="K4" s="152">
        <v>138837.0</v>
      </c>
      <c r="L4" s="152">
        <v>98282.0</v>
      </c>
    </row>
    <row r="5">
      <c r="A5" s="151" t="s">
        <v>215</v>
      </c>
      <c r="B5" s="152">
        <v>644900.0</v>
      </c>
      <c r="C5" s="152">
        <v>420300.0</v>
      </c>
      <c r="D5" s="152">
        <v>593000.0</v>
      </c>
      <c r="E5" s="152">
        <v>636700.0</v>
      </c>
      <c r="F5" s="153">
        <v>595400.0</v>
      </c>
      <c r="G5" s="151" t="s">
        <v>216</v>
      </c>
      <c r="H5" s="152">
        <v>1.0412231E7</v>
      </c>
      <c r="I5" s="152">
        <v>9131845.0</v>
      </c>
      <c r="J5" s="152">
        <v>8140395.0</v>
      </c>
      <c r="K5" s="152">
        <v>7703020.0</v>
      </c>
      <c r="L5" s="152">
        <v>5553726.0</v>
      </c>
    </row>
    <row r="6">
      <c r="A6" s="158" t="s">
        <v>217</v>
      </c>
      <c r="B6" s="159">
        <f t="shared" ref="B6:F6" si="1">B5/B3</f>
        <v>25.38976378</v>
      </c>
      <c r="C6" s="159">
        <f t="shared" si="1"/>
        <v>14.74736842</v>
      </c>
      <c r="D6" s="159">
        <f t="shared" si="1"/>
        <v>16.94285714</v>
      </c>
      <c r="E6" s="159">
        <f t="shared" si="1"/>
        <v>33.86702128</v>
      </c>
      <c r="F6" s="160">
        <f t="shared" si="1"/>
        <v>38.16666667</v>
      </c>
      <c r="G6" s="151" t="s">
        <v>207</v>
      </c>
      <c r="H6" s="152">
        <v>4922739.0</v>
      </c>
      <c r="I6" s="152">
        <v>4448450.0</v>
      </c>
      <c r="J6" s="152">
        <v>4363774.0</v>
      </c>
      <c r="K6" s="152">
        <v>4215744.0</v>
      </c>
      <c r="L6" s="152">
        <v>4070907.0</v>
      </c>
    </row>
    <row r="7">
      <c r="A7" s="148"/>
      <c r="B7" s="148"/>
      <c r="C7" s="148"/>
      <c r="D7" s="148"/>
      <c r="E7" s="148"/>
      <c r="F7" s="163"/>
      <c r="G7" s="151" t="s">
        <v>215</v>
      </c>
      <c r="H7" s="154">
        <f t="shared" ref="H7:L7" si="2">H5-H6-H3</f>
        <v>5232527</v>
      </c>
      <c r="I7" s="154">
        <f t="shared" si="2"/>
        <v>4428917</v>
      </c>
      <c r="J7" s="154">
        <f t="shared" si="2"/>
        <v>3536541</v>
      </c>
      <c r="K7" s="154">
        <f t="shared" si="2"/>
        <v>3215117</v>
      </c>
      <c r="L7" s="154">
        <f t="shared" si="2"/>
        <v>1202186</v>
      </c>
    </row>
    <row r="8">
      <c r="A8" s="151"/>
      <c r="B8" s="154"/>
      <c r="C8" s="154"/>
      <c r="D8" s="154"/>
      <c r="E8" s="154"/>
      <c r="F8" s="155"/>
      <c r="G8" s="151" t="s">
        <v>217</v>
      </c>
      <c r="H8" s="172">
        <f t="shared" ref="H8:L8" si="3">H7/H4</f>
        <v>41.06616072</v>
      </c>
      <c r="I8" s="172">
        <f t="shared" si="3"/>
        <v>29.64985205</v>
      </c>
      <c r="J8" s="172">
        <f t="shared" si="3"/>
        <v>24.53801214</v>
      </c>
      <c r="K8" s="172">
        <f t="shared" si="3"/>
        <v>23.15749404</v>
      </c>
      <c r="L8" s="172">
        <f t="shared" si="3"/>
        <v>12.23200586</v>
      </c>
    </row>
    <row r="9">
      <c r="A9" s="156" t="s">
        <v>218</v>
      </c>
      <c r="B9" s="157">
        <f>(B6+C6+D6+E6+F6)/5</f>
        <v>25.82273546</v>
      </c>
      <c r="F9" s="147"/>
      <c r="G9" s="156" t="s">
        <v>218</v>
      </c>
      <c r="H9" s="157">
        <f>(H8+I8+J8+K8+L8)/5</f>
        <v>26.12870496</v>
      </c>
    </row>
    <row r="10">
      <c r="G10" s="156"/>
      <c r="H10" s="173"/>
      <c r="I10" s="173"/>
      <c r="J10" s="173"/>
      <c r="K10" s="173"/>
      <c r="L10" s="173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>
      <c r="A12" s="38"/>
      <c r="B12" s="38"/>
      <c r="C12" s="38"/>
      <c r="D12" s="38"/>
      <c r="E12" s="38"/>
      <c r="F12" s="38"/>
    </row>
    <row r="13">
      <c r="A13" s="38"/>
      <c r="B13" s="38"/>
      <c r="C13" s="38"/>
      <c r="D13" s="38"/>
      <c r="E13" s="38"/>
      <c r="F13" s="38"/>
    </row>
    <row r="21">
      <c r="G21" s="38"/>
      <c r="H21" s="38"/>
      <c r="I21" s="38"/>
      <c r="J21" s="38"/>
      <c r="K21" s="38"/>
      <c r="L21" s="174"/>
    </row>
  </sheetData>
  <mergeCells count="4">
    <mergeCell ref="A1:F1"/>
    <mergeCell ref="G1:L1"/>
    <mergeCell ref="B9:F9"/>
    <mergeCell ref="H9:L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7" max="7" width="16.13"/>
  </cols>
  <sheetData>
    <row r="1">
      <c r="A1" s="175" t="s">
        <v>73</v>
      </c>
      <c r="B1" s="41"/>
      <c r="C1" s="41"/>
      <c r="D1" s="41"/>
      <c r="E1" s="41"/>
      <c r="F1" s="42"/>
      <c r="G1" s="175" t="s">
        <v>74</v>
      </c>
      <c r="H1" s="41"/>
      <c r="I1" s="41"/>
      <c r="J1" s="41"/>
      <c r="K1" s="41"/>
      <c r="L1" s="41"/>
    </row>
    <row r="2">
      <c r="A2" s="176" t="s">
        <v>0</v>
      </c>
      <c r="B2" s="176">
        <v>2021.0</v>
      </c>
      <c r="C2" s="176">
        <v>2020.0</v>
      </c>
      <c r="D2" s="176">
        <v>2019.0</v>
      </c>
      <c r="E2" s="176">
        <v>2018.0</v>
      </c>
      <c r="F2" s="177">
        <v>2017.0</v>
      </c>
      <c r="G2" s="176" t="s">
        <v>0</v>
      </c>
      <c r="H2" s="176">
        <v>2021.0</v>
      </c>
      <c r="I2" s="176">
        <v>2020.0</v>
      </c>
      <c r="J2" s="176">
        <v>2019.0</v>
      </c>
      <c r="K2" s="176">
        <v>2018.0</v>
      </c>
      <c r="L2" s="176">
        <v>2017.0</v>
      </c>
    </row>
    <row r="3">
      <c r="A3" s="117" t="s">
        <v>192</v>
      </c>
      <c r="B3" s="165">
        <v>4585500.0</v>
      </c>
      <c r="C3" s="165">
        <v>4016800.0</v>
      </c>
      <c r="D3" s="165">
        <v>4509000.0</v>
      </c>
      <c r="E3" s="165">
        <v>4313200.0</v>
      </c>
      <c r="F3" s="166">
        <v>4088400.0</v>
      </c>
      <c r="G3" s="151" t="s">
        <v>219</v>
      </c>
      <c r="H3" s="165">
        <v>1477500.0</v>
      </c>
      <c r="I3" s="165">
        <v>1278700.0</v>
      </c>
      <c r="J3" s="165">
        <v>1149700.0</v>
      </c>
      <c r="K3" s="165">
        <v>1177700.0</v>
      </c>
      <c r="L3" s="165">
        <v>783000.0</v>
      </c>
    </row>
    <row r="4">
      <c r="A4" s="117" t="s">
        <v>207</v>
      </c>
      <c r="B4" s="165">
        <v>3901700.0</v>
      </c>
      <c r="C4" s="165">
        <v>3605300.0</v>
      </c>
      <c r="D4" s="165">
        <v>3944400.0</v>
      </c>
      <c r="E4" s="165">
        <v>3666600.0</v>
      </c>
      <c r="F4" s="166">
        <v>3447000.0</v>
      </c>
      <c r="G4" s="151" t="s">
        <v>220</v>
      </c>
      <c r="H4" s="165">
        <v>2757229.0</v>
      </c>
      <c r="I4" s="165">
        <v>2237883.0</v>
      </c>
      <c r="J4" s="165">
        <v>1744994.0</v>
      </c>
      <c r="K4" s="165">
        <v>1407266.0</v>
      </c>
      <c r="L4" s="165">
        <v>931565.0</v>
      </c>
    </row>
    <row r="5">
      <c r="A5" s="151" t="s">
        <v>219</v>
      </c>
      <c r="B5" s="152">
        <f t="shared" ref="B5:F5" si="1">B3-B4</f>
        <v>683800</v>
      </c>
      <c r="C5" s="152">
        <f t="shared" si="1"/>
        <v>411500</v>
      </c>
      <c r="D5" s="152">
        <f t="shared" si="1"/>
        <v>564600</v>
      </c>
      <c r="E5" s="152">
        <f t="shared" si="1"/>
        <v>646600</v>
      </c>
      <c r="F5" s="153">
        <f t="shared" si="1"/>
        <v>641400</v>
      </c>
      <c r="G5" s="151" t="s">
        <v>221</v>
      </c>
      <c r="H5" s="178">
        <f t="shared" ref="H5:L5" si="2">H3/H4</f>
        <v>0.5358640867</v>
      </c>
      <c r="I5" s="178">
        <f t="shared" si="2"/>
        <v>0.5713882272</v>
      </c>
      <c r="J5" s="178">
        <f t="shared" si="2"/>
        <v>0.6588561336</v>
      </c>
      <c r="K5" s="178">
        <f t="shared" si="2"/>
        <v>0.8368709256</v>
      </c>
      <c r="L5" s="178">
        <f t="shared" si="2"/>
        <v>0.8405210586</v>
      </c>
    </row>
    <row r="6">
      <c r="A6" s="151" t="s">
        <v>220</v>
      </c>
      <c r="B6" s="179">
        <f>5223.6*1000</f>
        <v>5223600</v>
      </c>
      <c r="C6" s="180">
        <f>4600.8*1000</f>
        <v>4600800</v>
      </c>
      <c r="D6" s="181">
        <f>4659.8*1000</f>
        <v>4659800</v>
      </c>
      <c r="E6" s="180">
        <f>4477.3*1000</f>
        <v>4477300</v>
      </c>
      <c r="F6" s="182">
        <f>4186.3*1000</f>
        <v>4186300</v>
      </c>
      <c r="G6" s="156" t="s">
        <v>222</v>
      </c>
      <c r="H6" s="183">
        <f>(H5+I5+J5+K5+L5)/5</f>
        <v>0.6887000864</v>
      </c>
    </row>
    <row r="7">
      <c r="A7" s="158" t="s">
        <v>221</v>
      </c>
      <c r="B7" s="184">
        <f t="shared" ref="B7:F7" si="3">B5/B6</f>
        <v>0.1309058887</v>
      </c>
      <c r="C7" s="184">
        <f t="shared" si="3"/>
        <v>0.08944096679</v>
      </c>
      <c r="D7" s="184">
        <f t="shared" si="3"/>
        <v>0.1211639985</v>
      </c>
      <c r="E7" s="184">
        <f t="shared" si="3"/>
        <v>0.1444173944</v>
      </c>
      <c r="F7" s="185">
        <f t="shared" si="3"/>
        <v>0.1532140554</v>
      </c>
      <c r="G7" s="151"/>
      <c r="H7" s="154"/>
      <c r="I7" s="154"/>
      <c r="J7" s="154"/>
      <c r="K7" s="154"/>
      <c r="L7" s="154"/>
    </row>
    <row r="8">
      <c r="A8" s="156" t="s">
        <v>222</v>
      </c>
      <c r="B8" s="186">
        <f>(B7+C7+D7+E7+F7)/5</f>
        <v>0.1278284607</v>
      </c>
      <c r="F8" s="147"/>
      <c r="G8" s="151"/>
      <c r="H8" s="172"/>
      <c r="I8" s="172"/>
      <c r="J8" s="172"/>
      <c r="K8" s="172"/>
      <c r="L8" s="172"/>
    </row>
    <row r="9">
      <c r="A9" s="156"/>
      <c r="B9" s="157"/>
      <c r="C9" s="157"/>
      <c r="D9" s="157"/>
      <c r="E9" s="157"/>
      <c r="F9" s="187"/>
      <c r="G9" s="157"/>
      <c r="H9" s="157"/>
      <c r="I9" s="157"/>
      <c r="J9" s="157"/>
      <c r="K9" s="157"/>
      <c r="L9" s="157"/>
    </row>
  </sheetData>
  <mergeCells count="4">
    <mergeCell ref="A1:F1"/>
    <mergeCell ref="G1:L1"/>
    <mergeCell ref="H6:L6"/>
    <mergeCell ref="B8:F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46.88"/>
  </cols>
  <sheetData>
    <row r="1">
      <c r="A1" s="188"/>
      <c r="B1" s="189" t="s">
        <v>73</v>
      </c>
      <c r="F1" s="147"/>
      <c r="G1" s="189" t="s">
        <v>101</v>
      </c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>
      <c r="A2" s="191" t="s">
        <v>75</v>
      </c>
      <c r="B2" s="156">
        <v>2021.0</v>
      </c>
      <c r="C2" s="156">
        <v>2020.0</v>
      </c>
      <c r="D2" s="156">
        <v>2019.0</v>
      </c>
      <c r="E2" s="156">
        <v>2018.0</v>
      </c>
      <c r="F2" s="192">
        <v>2017.0</v>
      </c>
      <c r="G2" s="156">
        <v>2021.0</v>
      </c>
      <c r="H2" s="156">
        <v>2020.0</v>
      </c>
      <c r="I2" s="156">
        <v>2019.0</v>
      </c>
      <c r="J2" s="156">
        <v>2018.0</v>
      </c>
      <c r="K2" s="156">
        <v>2017.0</v>
      </c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</row>
    <row r="3">
      <c r="B3" s="194" t="s">
        <v>76</v>
      </c>
      <c r="C3" s="194" t="s">
        <v>76</v>
      </c>
      <c r="D3" s="194" t="s">
        <v>76</v>
      </c>
      <c r="E3" s="194" t="s">
        <v>76</v>
      </c>
      <c r="F3" s="195" t="s">
        <v>76</v>
      </c>
      <c r="G3" s="194" t="s">
        <v>76</v>
      </c>
      <c r="H3" s="194" t="s">
        <v>76</v>
      </c>
      <c r="I3" s="194" t="s">
        <v>76</v>
      </c>
      <c r="J3" s="194" t="s">
        <v>76</v>
      </c>
      <c r="K3" s="194" t="s">
        <v>76</v>
      </c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>
      <c r="A4" s="188" t="s">
        <v>169</v>
      </c>
      <c r="B4" s="7">
        <f>'Profitability Ratio'!B4</f>
        <v>4616900</v>
      </c>
      <c r="C4" s="7">
        <f>'Profitability Ratio'!C4</f>
        <v>4039000</v>
      </c>
      <c r="D4" s="7">
        <f>'Profitability Ratio'!D4</f>
        <v>4525600</v>
      </c>
      <c r="E4" s="7">
        <f>'Profitability Ratio'!E4</f>
        <v>4332500</v>
      </c>
      <c r="F4" s="196">
        <f>'Profitability Ratio'!F4</f>
        <v>4106100</v>
      </c>
      <c r="G4" s="7">
        <f>'Profitability Ratio'!G4</f>
        <v>8971337</v>
      </c>
      <c r="H4" s="7">
        <f>'Profitability Ratio'!H4</f>
        <v>8149719</v>
      </c>
      <c r="I4" s="7">
        <f>'Profitability Ratio'!I4</f>
        <v>7986252</v>
      </c>
      <c r="J4" s="7">
        <f>'Profitability Ratio'!J4</f>
        <v>7791069</v>
      </c>
      <c r="K4" s="7">
        <f>'Profitability Ratio'!K4</f>
        <v>7515426</v>
      </c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>
      <c r="A5" s="197" t="s">
        <v>171</v>
      </c>
      <c r="B5" s="184">
        <f>'Profitability Ratio'!B6</f>
        <v>0.4576230804</v>
      </c>
      <c r="C5" s="184">
        <f>'Profitability Ratio'!C6</f>
        <v>0.4288190146</v>
      </c>
      <c r="D5" s="184">
        <f>'Profitability Ratio'!D6</f>
        <v>0.4483604384</v>
      </c>
      <c r="E5" s="184">
        <f>'Profitability Ratio'!E6</f>
        <v>0.4524177726</v>
      </c>
      <c r="F5" s="185">
        <f>'Profitability Ratio'!F6</f>
        <v>0.4370083534</v>
      </c>
      <c r="G5" s="184">
        <f>'Profitability Ratio'!G6</f>
        <v>0.4512814534</v>
      </c>
      <c r="H5" s="184">
        <f>'Profitability Ratio'!H6</f>
        <v>0.4541590943</v>
      </c>
      <c r="I5" s="184">
        <f>'Profitability Ratio'!I6</f>
        <v>0.4535892431</v>
      </c>
      <c r="J5" s="184">
        <f>'Profitability Ratio'!J6</f>
        <v>0.458900441</v>
      </c>
      <c r="K5" s="184">
        <f>'Profitability Ratio'!K6</f>
        <v>0.4597711427</v>
      </c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</row>
    <row r="6">
      <c r="A6" s="197" t="s">
        <v>173</v>
      </c>
      <c r="B6" s="184">
        <f>'Profitability Ratio'!B8</f>
        <v>0.1396824709</v>
      </c>
      <c r="C6" s="184">
        <f>'Profitability Ratio'!C8</f>
        <v>0.104060411</v>
      </c>
      <c r="D6" s="184">
        <f>'Profitability Ratio'!D8</f>
        <v>0.1310323493</v>
      </c>
      <c r="E6" s="184">
        <f>'Profitability Ratio'!E8</f>
        <v>0.1469590306</v>
      </c>
      <c r="F6" s="185">
        <f>'Profitability Ratio'!F8</f>
        <v>0.1450037749</v>
      </c>
      <c r="G6" s="184">
        <f>'Profitability Ratio'!G8</f>
        <v>0.2278057329</v>
      </c>
      <c r="H6" s="184">
        <f>'Profitability Ratio'!H8</f>
        <v>0.2187434929</v>
      </c>
      <c r="I6" s="184">
        <f>'Profitability Ratio'!I8</f>
        <v>0.1998374206</v>
      </c>
      <c r="J6" s="184">
        <f>'Profitability Ratio'!J8</f>
        <v>0.20840067</v>
      </c>
      <c r="K6" s="184">
        <f>'Profitability Ratio'!K8</f>
        <v>0.17476175</v>
      </c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</row>
    <row r="7">
      <c r="A7" s="188" t="s">
        <v>175</v>
      </c>
      <c r="B7" s="184">
        <f>'Profitability Ratio'!B10</f>
        <v>0.1062401178</v>
      </c>
      <c r="C7" s="184">
        <f>'Profitability Ratio'!C10</f>
        <v>0.07925229017</v>
      </c>
      <c r="D7" s="184">
        <f>'Profitability Ratio'!D10</f>
        <v>0.1131120735</v>
      </c>
      <c r="E7" s="184">
        <f>'Profitability Ratio'!E10</f>
        <v>0.1124293133</v>
      </c>
      <c r="F7" s="185">
        <f>'Profitability Ratio'!F10</f>
        <v>0.1102018947</v>
      </c>
      <c r="G7" s="184">
        <f>'Profitability Ratio'!G10</f>
        <v>0.1652840597</v>
      </c>
      <c r="H7" s="184">
        <f>'Profitability Ratio'!H10</f>
        <v>0.1564977885</v>
      </c>
      <c r="I7" s="184">
        <f>'Profitability Ratio'!I10</f>
        <v>0.1435907607</v>
      </c>
      <c r="J7" s="184">
        <f>'Profitability Ratio'!J10</f>
        <v>0.1503068449</v>
      </c>
      <c r="K7" s="184">
        <f>'Profitability Ratio'!K10</f>
        <v>0.1006645531</v>
      </c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</row>
    <row r="8">
      <c r="A8" s="188" t="s">
        <v>176</v>
      </c>
      <c r="B8" s="184">
        <f>'Profitability Ratio'!B12</f>
        <v>0.05476714195</v>
      </c>
      <c r="C8" s="184">
        <f>'Profitability Ratio'!C12</f>
        <v>0.03975903614</v>
      </c>
      <c r="D8" s="184">
        <f>'Profitability Ratio'!D12</f>
        <v>0.06366281962</v>
      </c>
      <c r="E8" s="184">
        <f>'Profitability Ratio'!E12</f>
        <v>0.06718806036</v>
      </c>
      <c r="F8" s="185">
        <f>'Profitability Ratio'!F12</f>
        <v>0.06486897184</v>
      </c>
      <c r="G8" s="184">
        <f>'Profitability Ratio'!G12</f>
        <v>0.1424112661</v>
      </c>
      <c r="H8" s="184">
        <f>'Profitability Ratio'!H12</f>
        <v>0.1396665186</v>
      </c>
      <c r="I8" s="184">
        <f>'Profitability Ratio'!I12</f>
        <v>0.1408717882</v>
      </c>
      <c r="J8" s="184">
        <f>'Profitability Ratio'!J12</f>
        <v>0.1520249201</v>
      </c>
      <c r="K8" s="184">
        <f>'Profitability Ratio'!K12</f>
        <v>0.1362215205</v>
      </c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</row>
    <row r="9">
      <c r="A9" s="197" t="s">
        <v>182</v>
      </c>
      <c r="B9" s="198">
        <f>'Liquidity and Efficiency Ratios'!B6</f>
        <v>2.035942653</v>
      </c>
      <c r="C9" s="198">
        <f>'Liquidity and Efficiency Ratios'!C6</f>
        <v>2.307193626</v>
      </c>
      <c r="D9" s="198">
        <f>'Liquidity and Efficiency Ratios'!D6</f>
        <v>1.761081849</v>
      </c>
      <c r="E9" s="198">
        <f>'Liquidity and Efficiency Ratios'!E6</f>
        <v>2.852835327</v>
      </c>
      <c r="F9" s="199">
        <f>'Liquidity and Efficiency Ratios'!F6</f>
        <v>2.649171271</v>
      </c>
      <c r="G9" s="198">
        <f>'Liquidity and Efficiency Ratios'!G6</f>
        <v>0.9008921062</v>
      </c>
      <c r="H9" s="198">
        <f>'Liquidity and Efficiency Ratios'!H6</f>
        <v>1.574157722</v>
      </c>
      <c r="I9" s="198">
        <f>'Liquidity and Efficiency Ratios'!I6</f>
        <v>1.053917452</v>
      </c>
      <c r="J9" s="198">
        <f>'Liquidity and Efficiency Ratios'!J6</f>
        <v>0.9258300166</v>
      </c>
      <c r="K9" s="198">
        <f>'Liquidity and Efficiency Ratios'!K6</f>
        <v>0.9640590154</v>
      </c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</row>
    <row r="10">
      <c r="A10" s="197" t="s">
        <v>184</v>
      </c>
      <c r="B10" s="198">
        <f>'Liquidity and Efficiency Ratios'!B11</f>
        <v>1.52332234</v>
      </c>
      <c r="C10" s="198">
        <f>'Liquidity and Efficiency Ratios'!C11</f>
        <v>1.75927517</v>
      </c>
      <c r="D10" s="198">
        <f>'Liquidity and Efficiency Ratios'!D11</f>
        <v>1.317156892</v>
      </c>
      <c r="E10" s="198">
        <f>'Liquidity and Efficiency Ratios'!E11</f>
        <v>2.121194436</v>
      </c>
      <c r="F10" s="199">
        <f>'Liquidity and Efficiency Ratios'!F11</f>
        <v>1.952467137</v>
      </c>
      <c r="G10" s="198">
        <f>'Liquidity and Efficiency Ratios'!G11</f>
        <v>0.504427242</v>
      </c>
      <c r="H10" s="198">
        <f>'Liquidity and Efficiency Ratios'!H11</f>
        <v>1.064465877</v>
      </c>
      <c r="I10" s="198">
        <f>'Liquidity and Efficiency Ratios'!I11</f>
        <v>0.6480762328</v>
      </c>
      <c r="J10" s="198">
        <f>'Liquidity and Efficiency Ratios'!J11</f>
        <v>0.6013075517</v>
      </c>
      <c r="K10" s="198">
        <f>'Liquidity and Efficiency Ratios'!K11</f>
        <v>0.6015160774</v>
      </c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</row>
    <row r="11">
      <c r="A11" s="197" t="s">
        <v>186</v>
      </c>
      <c r="B11" s="200">
        <f>'Liquidity and Efficiency Ratios'!B13</f>
        <v>1539100</v>
      </c>
      <c r="C11" s="200">
        <f>'Liquidity and Efficiency Ratios'!C13</f>
        <v>1673600</v>
      </c>
      <c r="D11" s="200">
        <f>'Liquidity and Efficiency Ratios'!D13</f>
        <v>1286000</v>
      </c>
      <c r="E11" s="200">
        <f>'Liquidity and Efficiency Ratios'!E13</f>
        <v>1904900</v>
      </c>
      <c r="F11" s="201">
        <f>'Liquidity and Efficiency Ratios'!F13</f>
        <v>1731300</v>
      </c>
      <c r="G11" s="200">
        <f>'Liquidity and Efficiency Ratios'!G13</f>
        <v>-247107</v>
      </c>
      <c r="H11" s="200">
        <f>'Liquidity and Efficiency Ratios'!H13</f>
        <v>1086160</v>
      </c>
      <c r="I11" s="200">
        <f>'Liquidity and Efficiency Ratios'!I13</f>
        <v>108309</v>
      </c>
      <c r="J11" s="200">
        <f>'Liquidity and Efficiency Ratios'!J13</f>
        <v>-179385</v>
      </c>
      <c r="K11" s="200">
        <f>'Liquidity and Efficiency Ratios'!K13</f>
        <v>-74633</v>
      </c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</row>
    <row r="12">
      <c r="A12" s="197" t="s">
        <v>187</v>
      </c>
      <c r="B12" s="198">
        <f>'Liquidity and Efficiency Ratios'!B14</f>
        <v>0.556505351</v>
      </c>
      <c r="C12" s="198">
        <f>'Liquidity and Efficiency Ratios'!C14</f>
        <v>0.6151683199</v>
      </c>
      <c r="D12" s="198">
        <f>'Liquidity and Efficiency Ratios'!D14</f>
        <v>0.4917440966</v>
      </c>
      <c r="E12" s="198">
        <f>'Liquidity and Efficiency Ratios'!E14</f>
        <v>0.6337904873</v>
      </c>
      <c r="F12" s="199">
        <f>'Liquidity and Efficiency Ratios'!F14</f>
        <v>0.5629643742</v>
      </c>
      <c r="G12" s="198">
        <f>'Liquidity and Efficiency Ratios'!G14</f>
        <v>0.8353880961</v>
      </c>
      <c r="H12" s="198">
        <f>'Liquidity and Efficiency Ratios'!H14</f>
        <v>0.8984598876</v>
      </c>
      <c r="I12" s="198">
        <f>'Liquidity and Efficiency Ratios'!I14</f>
        <v>0.8780760387</v>
      </c>
      <c r="J12" s="198">
        <f>'Liquidity and Efficiency Ratios'!J14</f>
        <v>0.6615461393</v>
      </c>
      <c r="K12" s="198">
        <f>'Liquidity and Efficiency Ratios'!K14</f>
        <v>0.6017284496</v>
      </c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</row>
    <row r="13">
      <c r="A13" s="188" t="s">
        <v>190</v>
      </c>
      <c r="B13" s="154">
        <f>'Liquidity and Efficiency Ratios'!B17</f>
        <v>111.0115411</v>
      </c>
      <c r="C13" s="154">
        <f>'Liquidity and Efficiency Ratios'!C17</f>
        <v>110.9872128</v>
      </c>
      <c r="D13" s="154">
        <f>'Liquidity and Efficiency Ratios'!D17</f>
        <v>109.6681354</v>
      </c>
      <c r="E13" s="154">
        <f>'Liquidity and Efficiency Ratios'!E17</f>
        <v>115.7279548</v>
      </c>
      <c r="F13" s="155">
        <f>'Liquidity and Efficiency Ratios'!F17</f>
        <v>115.4825453</v>
      </c>
      <c r="G13" s="154">
        <f>'Liquidity and Efficiency Ratios'!G17</f>
        <v>73.2938543</v>
      </c>
      <c r="H13" s="154">
        <f>'Liquidity and Efficiency Ratios'!H17</f>
        <v>79.1141982</v>
      </c>
      <c r="I13" s="154">
        <f>'Liquidity and Efficiency Ratios'!I17</f>
        <v>68.19019844</v>
      </c>
      <c r="J13" s="154">
        <f>'Liquidity and Efficiency Ratios'!J17</f>
        <v>67.95498849</v>
      </c>
      <c r="K13" s="154">
        <f>'Liquidity and Efficiency Ratios'!K17</f>
        <v>67.68023547</v>
      </c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</row>
    <row r="14">
      <c r="A14" s="188" t="s">
        <v>193</v>
      </c>
      <c r="B14" s="154">
        <f>'Liquidity and Efficiency Ratios'!B20</f>
        <v>70.78006888</v>
      </c>
      <c r="C14" s="154">
        <f>'Liquidity and Efficiency Ratios'!C20</f>
        <v>74.55434513</v>
      </c>
      <c r="D14" s="154">
        <f>'Liquidity and Efficiency Ratios'!D20</f>
        <v>78.53919922</v>
      </c>
      <c r="E14" s="154">
        <f>'Liquidity and Efficiency Ratios'!E20</f>
        <v>86.20150029</v>
      </c>
      <c r="F14" s="155">
        <f>'Liquidity and Efficiency Ratios'!F20</f>
        <v>93.11451255</v>
      </c>
      <c r="G14" s="154">
        <f>'Liquidity and Efficiency Ratios'!G20</f>
        <v>27.31859922</v>
      </c>
      <c r="H14" s="154">
        <f>'Liquidity and Efficiency Ratios'!H20</f>
        <v>27.55432979</v>
      </c>
      <c r="I14" s="154">
        <f>'Liquidity and Efficiency Ratios'!I20</f>
        <v>25.9828747</v>
      </c>
      <c r="J14" s="154">
        <f>'Liquidity and Efficiency Ratios'!J20</f>
        <v>27.83480996</v>
      </c>
      <c r="K14" s="154">
        <f>'Liquidity and Efficiency Ratios'!K20</f>
        <v>28.56998792</v>
      </c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</row>
    <row r="15">
      <c r="A15" s="188" t="s">
        <v>195</v>
      </c>
      <c r="B15" s="154">
        <f>'Liquidity and Efficiency Ratios'!B23</f>
        <v>49.80651731</v>
      </c>
      <c r="C15" s="154">
        <f>'Liquidity and Efficiency Ratios'!C23</f>
        <v>47.93888166</v>
      </c>
      <c r="D15" s="154">
        <f>'Liquidity and Efficiency Ratios'!D23</f>
        <v>42.79411176</v>
      </c>
      <c r="E15" s="154">
        <f>'Liquidity and Efficiency Ratios'!E23</f>
        <v>41.6017535</v>
      </c>
      <c r="F15" s="155">
        <f>'Liquidity and Efficiency Ratios'!F23</f>
        <v>42.70991046</v>
      </c>
      <c r="G15" s="154">
        <f>'Liquidity and Efficiency Ratios'!G23</f>
        <v>51.33389562</v>
      </c>
      <c r="H15" s="154">
        <f>'Liquidity and Efficiency Ratios'!H23</f>
        <v>47.59436883</v>
      </c>
      <c r="I15" s="154">
        <f>'Liquidity and Efficiency Ratios'!I23</f>
        <v>46.07301386</v>
      </c>
      <c r="J15" s="154">
        <f>'Liquidity and Efficiency Ratios'!J23</f>
        <v>43.49045151</v>
      </c>
      <c r="K15" s="154">
        <f>'Liquidity and Efficiency Ratios'!K23</f>
        <v>47.03848105</v>
      </c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</row>
    <row r="16">
      <c r="A16" s="188" t="s">
        <v>196</v>
      </c>
      <c r="B16" s="202">
        <f>'Liquidity and Efficiency Ratios'!B24</f>
        <v>131.9850926</v>
      </c>
      <c r="C16" s="202">
        <f>'Liquidity and Efficiency Ratios'!C24</f>
        <v>137.6026763</v>
      </c>
      <c r="D16" s="202">
        <f>'Liquidity and Efficiency Ratios'!D24</f>
        <v>145.4132229</v>
      </c>
      <c r="E16" s="202">
        <f>'Liquidity and Efficiency Ratios'!E24</f>
        <v>160.3277016</v>
      </c>
      <c r="F16" s="203">
        <f>'Liquidity and Efficiency Ratios'!F24</f>
        <v>165.8871474</v>
      </c>
      <c r="G16" s="202">
        <f>'Liquidity and Efficiency Ratios'!G24</f>
        <v>49.2785579</v>
      </c>
      <c r="H16" s="202">
        <f>'Liquidity and Efficiency Ratios'!H24</f>
        <v>59.07415917</v>
      </c>
      <c r="I16" s="202">
        <f>'Liquidity and Efficiency Ratios'!I24</f>
        <v>48.10005927</v>
      </c>
      <c r="J16" s="202">
        <f>'Liquidity and Efficiency Ratios'!J24</f>
        <v>52.29934694</v>
      </c>
      <c r="K16" s="202">
        <f>'Liquidity and Efficiency Ratios'!K24</f>
        <v>49.21174233</v>
      </c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</row>
    <row r="17">
      <c r="A17" s="197" t="s">
        <v>197</v>
      </c>
      <c r="B17" s="202">
        <f>'Liquidity and Efficiency Ratios'!B27</f>
        <v>0.5155033999</v>
      </c>
      <c r="C17" s="202">
        <f>'Liquidity and Efficiency Ratios'!C27</f>
        <v>0.5016768103</v>
      </c>
      <c r="D17" s="202">
        <f>'Liquidity and Efficiency Ratios'!D27</f>
        <v>0.5628295692</v>
      </c>
      <c r="E17" s="202">
        <f>'Liquidity and Efficiency Ratios'!E27</f>
        <v>0.5976026925</v>
      </c>
      <c r="F17" s="203">
        <f>'Liquidity and Efficiency Ratios'!F27</f>
        <v>0.5886375366</v>
      </c>
      <c r="G17" s="202">
        <f>'Liquidity and Efficiency Ratios'!G27</f>
        <v>0.8616152485</v>
      </c>
      <c r="H17" s="202">
        <f>'Liquidity and Efficiency Ratios'!H27</f>
        <v>0.8924504303</v>
      </c>
      <c r="I17" s="202">
        <f>'Liquidity and Efficiency Ratios'!I27</f>
        <v>0.9810644324</v>
      </c>
      <c r="J17" s="202">
        <f>'Liquidity and Efficiency Ratios'!J27</f>
        <v>1.011430452</v>
      </c>
      <c r="K17" s="202">
        <f>'Liquidity and Efficiency Ratios'!K27</f>
        <v>1.353222323</v>
      </c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</row>
    <row r="18">
      <c r="A18" s="188" t="s">
        <v>199</v>
      </c>
      <c r="B18" s="38"/>
      <c r="C18" s="38"/>
      <c r="D18" s="38"/>
      <c r="E18" s="38"/>
      <c r="F18" s="174"/>
      <c r="G18" s="38"/>
      <c r="H18" s="38"/>
      <c r="I18" s="38"/>
      <c r="J18" s="38"/>
      <c r="K18" s="38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</row>
    <row r="19">
      <c r="A19" s="204" t="s">
        <v>223</v>
      </c>
      <c r="B19" s="151">
        <v>25.39</v>
      </c>
      <c r="C19" s="151">
        <v>14.75</v>
      </c>
      <c r="D19" s="151">
        <v>16.94</v>
      </c>
      <c r="E19" s="151">
        <v>33.87</v>
      </c>
      <c r="F19" s="205">
        <v>38.17</v>
      </c>
      <c r="G19" s="151">
        <v>41.07</v>
      </c>
      <c r="H19" s="151">
        <v>29.65</v>
      </c>
      <c r="I19" s="151">
        <v>24.54</v>
      </c>
      <c r="J19" s="151">
        <v>23.16</v>
      </c>
      <c r="K19" s="151">
        <v>12.23</v>
      </c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</row>
    <row r="20">
      <c r="A20" s="191" t="s">
        <v>224</v>
      </c>
      <c r="B20" s="151">
        <v>0.71</v>
      </c>
      <c r="C20" s="151">
        <v>0.75</v>
      </c>
      <c r="D20" s="151">
        <v>0.72</v>
      </c>
      <c r="E20" s="151">
        <v>0.62</v>
      </c>
      <c r="F20" s="205">
        <v>0.66</v>
      </c>
      <c r="G20" s="151">
        <v>2.78</v>
      </c>
      <c r="H20" s="151">
        <v>3.08</v>
      </c>
      <c r="I20" s="151">
        <v>3.66</v>
      </c>
      <c r="J20" s="151">
        <v>4.47</v>
      </c>
      <c r="K20" s="151">
        <v>4.96</v>
      </c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</row>
    <row r="21">
      <c r="A21" s="188" t="s">
        <v>225</v>
      </c>
      <c r="B21" s="38"/>
      <c r="C21" s="38"/>
      <c r="D21" s="38"/>
      <c r="E21" s="38"/>
      <c r="F21" s="174"/>
      <c r="G21" s="38"/>
      <c r="H21" s="38"/>
      <c r="I21" s="38"/>
      <c r="J21" s="38"/>
      <c r="K21" s="38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</row>
    <row r="22">
      <c r="A22" s="188" t="s">
        <v>226</v>
      </c>
      <c r="B22" s="38"/>
      <c r="C22" s="38"/>
      <c r="D22" s="38"/>
      <c r="E22" s="38"/>
      <c r="F22" s="174"/>
      <c r="G22" s="38"/>
      <c r="H22" s="38"/>
      <c r="I22" s="38"/>
      <c r="J22" s="38"/>
      <c r="K22" s="38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</row>
    <row r="23">
      <c r="A23" s="191" t="s">
        <v>227</v>
      </c>
      <c r="B23" s="202">
        <v>0.13</v>
      </c>
      <c r="C23" s="202">
        <v>0.09</v>
      </c>
      <c r="D23" s="202">
        <v>0.12</v>
      </c>
      <c r="E23" s="202">
        <v>0.14</v>
      </c>
      <c r="F23" s="203">
        <v>0.15</v>
      </c>
      <c r="G23" s="206">
        <v>0.54</v>
      </c>
      <c r="H23" s="206">
        <v>0.57</v>
      </c>
      <c r="I23" s="206">
        <v>0.66</v>
      </c>
      <c r="J23" s="206">
        <v>0.84</v>
      </c>
      <c r="K23" s="206">
        <v>0.84</v>
      </c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</row>
    <row r="24">
      <c r="A24" s="207" t="s">
        <v>228</v>
      </c>
      <c r="B24" s="202">
        <v>5.3</v>
      </c>
      <c r="C24" s="202">
        <v>4.76</v>
      </c>
      <c r="D24" s="202">
        <v>5.29</v>
      </c>
      <c r="E24" s="202">
        <v>4.92</v>
      </c>
      <c r="F24" s="203">
        <v>5.0</v>
      </c>
      <c r="G24" s="202">
        <v>4.43</v>
      </c>
      <c r="H24" s="202">
        <v>3.14</v>
      </c>
      <c r="I24" s="202">
        <v>4.18</v>
      </c>
      <c r="J24" s="202">
        <v>3.82</v>
      </c>
      <c r="K24" s="202">
        <v>4.08</v>
      </c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</row>
    <row r="25">
      <c r="A25" s="197" t="s">
        <v>179</v>
      </c>
      <c r="B25" s="38"/>
      <c r="C25" s="38"/>
      <c r="D25" s="38"/>
      <c r="E25" s="38"/>
      <c r="F25" s="174"/>
      <c r="G25" s="38"/>
      <c r="H25" s="38"/>
      <c r="I25" s="38"/>
      <c r="J25" s="38"/>
      <c r="K25" s="38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</row>
    <row r="26">
      <c r="A26" s="188" t="s">
        <v>229</v>
      </c>
      <c r="B26" s="38"/>
      <c r="C26" s="38"/>
      <c r="D26" s="38"/>
      <c r="E26" s="38"/>
      <c r="F26" s="174"/>
      <c r="G26" s="38"/>
      <c r="H26" s="38"/>
      <c r="I26" s="38"/>
      <c r="J26" s="38"/>
      <c r="K26" s="38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</row>
    <row r="27">
      <c r="A27" s="188" t="s">
        <v>230</v>
      </c>
      <c r="B27" s="38"/>
      <c r="C27" s="38"/>
      <c r="D27" s="38"/>
      <c r="E27" s="38"/>
      <c r="F27" s="174"/>
      <c r="G27" s="38"/>
      <c r="H27" s="38"/>
      <c r="I27" s="38"/>
      <c r="J27" s="38"/>
      <c r="K27" s="38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</row>
    <row r="28">
      <c r="A28" s="188" t="s">
        <v>231</v>
      </c>
      <c r="B28" s="38"/>
      <c r="C28" s="38"/>
      <c r="D28" s="38"/>
      <c r="E28" s="38"/>
      <c r="F28" s="174"/>
      <c r="G28" s="38"/>
      <c r="H28" s="38"/>
      <c r="I28" s="38"/>
      <c r="J28" s="38"/>
      <c r="K28" s="38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</row>
    <row r="29">
      <c r="A29" s="188" t="s">
        <v>232</v>
      </c>
      <c r="B29" s="38"/>
      <c r="C29" s="38"/>
      <c r="D29" s="38"/>
      <c r="E29" s="38"/>
      <c r="F29" s="174"/>
      <c r="G29" s="38"/>
      <c r="H29" s="38"/>
      <c r="I29" s="38"/>
      <c r="J29" s="38"/>
      <c r="K29" s="38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</row>
    <row r="30">
      <c r="A30" s="188" t="s">
        <v>233</v>
      </c>
      <c r="B30" s="38"/>
      <c r="C30" s="38"/>
      <c r="D30" s="38"/>
      <c r="E30" s="38"/>
      <c r="F30" s="174"/>
      <c r="G30" s="38"/>
      <c r="H30" s="38"/>
      <c r="I30" s="38"/>
      <c r="J30" s="38"/>
      <c r="K30" s="38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</row>
    <row r="31">
      <c r="A31" s="188" t="s">
        <v>234</v>
      </c>
      <c r="B31" s="38"/>
      <c r="C31" s="38"/>
      <c r="D31" s="38"/>
      <c r="E31" s="38"/>
      <c r="F31" s="174"/>
      <c r="G31" s="38"/>
      <c r="H31" s="38"/>
      <c r="I31" s="38"/>
      <c r="J31" s="38"/>
      <c r="K31" s="38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</row>
    <row r="32">
      <c r="A32" s="188" t="s">
        <v>235</v>
      </c>
      <c r="B32" s="38"/>
      <c r="C32" s="38"/>
      <c r="D32" s="38"/>
      <c r="E32" s="38"/>
      <c r="F32" s="174"/>
      <c r="G32" s="38"/>
      <c r="H32" s="38"/>
      <c r="I32" s="38"/>
      <c r="J32" s="38"/>
      <c r="K32" s="38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</row>
    <row r="33">
      <c r="A33" s="188" t="s">
        <v>236</v>
      </c>
      <c r="B33" s="38"/>
      <c r="C33" s="38"/>
      <c r="D33" s="38"/>
      <c r="E33" s="38"/>
      <c r="F33" s="174"/>
      <c r="G33" s="38"/>
      <c r="H33" s="38"/>
      <c r="I33" s="38"/>
      <c r="J33" s="38"/>
      <c r="K33" s="38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</row>
    <row r="34">
      <c r="A34" s="208"/>
      <c r="B34" s="190"/>
      <c r="C34" s="190"/>
      <c r="D34" s="190"/>
      <c r="E34" s="190"/>
      <c r="F34" s="209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</row>
    <row r="35">
      <c r="A35" s="208"/>
      <c r="B35" s="190"/>
      <c r="C35" s="190"/>
      <c r="D35" s="190"/>
      <c r="E35" s="190"/>
      <c r="F35" s="209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</row>
    <row r="36">
      <c r="A36" s="208"/>
      <c r="B36" s="190"/>
      <c r="C36" s="190"/>
      <c r="D36" s="190"/>
      <c r="E36" s="190"/>
      <c r="F36" s="209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</row>
    <row r="37">
      <c r="A37" s="208"/>
      <c r="B37" s="190"/>
      <c r="C37" s="190"/>
      <c r="D37" s="190"/>
      <c r="E37" s="190"/>
      <c r="F37" s="20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</row>
    <row r="38">
      <c r="A38" s="208"/>
      <c r="B38" s="190"/>
      <c r="C38" s="190"/>
      <c r="D38" s="190"/>
      <c r="E38" s="190"/>
      <c r="F38" s="209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</row>
    <row r="39">
      <c r="A39" s="208"/>
      <c r="B39" s="190"/>
      <c r="C39" s="190"/>
      <c r="D39" s="190"/>
      <c r="E39" s="190"/>
      <c r="F39" s="209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</row>
    <row r="40">
      <c r="A40" s="208"/>
      <c r="B40" s="190"/>
      <c r="C40" s="190"/>
      <c r="D40" s="190"/>
      <c r="E40" s="190"/>
      <c r="F40" s="209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</row>
    <row r="41">
      <c r="A41" s="208"/>
      <c r="B41" s="190"/>
      <c r="C41" s="190"/>
      <c r="D41" s="190"/>
      <c r="E41" s="190"/>
      <c r="F41" s="209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</row>
    <row r="42">
      <c r="A42" s="208"/>
      <c r="B42" s="190"/>
      <c r="C42" s="190"/>
      <c r="D42" s="190"/>
      <c r="E42" s="190"/>
      <c r="F42" s="209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</row>
    <row r="43">
      <c r="A43" s="208"/>
      <c r="B43" s="190"/>
      <c r="C43" s="190"/>
      <c r="D43" s="190"/>
      <c r="E43" s="190"/>
      <c r="F43" s="209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</row>
    <row r="44">
      <c r="A44" s="208"/>
      <c r="B44" s="190"/>
      <c r="C44" s="190"/>
      <c r="D44" s="190"/>
      <c r="E44" s="190"/>
      <c r="F44" s="209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</row>
    <row r="45">
      <c r="A45" s="208"/>
      <c r="B45" s="190"/>
      <c r="C45" s="190"/>
      <c r="D45" s="190"/>
      <c r="E45" s="190"/>
      <c r="F45" s="209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</row>
    <row r="46">
      <c r="A46" s="208"/>
      <c r="B46" s="190"/>
      <c r="C46" s="190"/>
      <c r="D46" s="190"/>
      <c r="E46" s="190"/>
      <c r="F46" s="209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</row>
    <row r="47">
      <c r="A47" s="208"/>
      <c r="B47" s="190"/>
      <c r="C47" s="190"/>
      <c r="D47" s="190"/>
      <c r="E47" s="190"/>
      <c r="F47" s="209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</row>
    <row r="48">
      <c r="A48" s="208"/>
      <c r="B48" s="190"/>
      <c r="C48" s="190"/>
      <c r="D48" s="190"/>
      <c r="E48" s="190"/>
      <c r="F48" s="209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</row>
    <row r="49">
      <c r="A49" s="208"/>
      <c r="B49" s="190"/>
      <c r="C49" s="190"/>
      <c r="D49" s="190"/>
      <c r="E49" s="190"/>
      <c r="F49" s="209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</row>
    <row r="50">
      <c r="A50" s="208"/>
      <c r="B50" s="190"/>
      <c r="C50" s="190"/>
      <c r="D50" s="190"/>
      <c r="E50" s="190"/>
      <c r="F50" s="209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</row>
    <row r="51">
      <c r="A51" s="208"/>
      <c r="B51" s="190"/>
      <c r="C51" s="190"/>
      <c r="D51" s="190"/>
      <c r="E51" s="190"/>
      <c r="F51" s="209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>
      <c r="A52" s="208"/>
      <c r="B52" s="190"/>
      <c r="C52" s="190"/>
      <c r="D52" s="190"/>
      <c r="E52" s="190"/>
      <c r="F52" s="209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</row>
    <row r="53">
      <c r="A53" s="208"/>
      <c r="B53" s="190"/>
      <c r="C53" s="190"/>
      <c r="D53" s="190"/>
      <c r="E53" s="190"/>
      <c r="F53" s="209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</row>
    <row r="54">
      <c r="A54" s="208"/>
      <c r="B54" s="190"/>
      <c r="C54" s="190"/>
      <c r="D54" s="190"/>
      <c r="E54" s="190"/>
      <c r="F54" s="209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</row>
    <row r="55">
      <c r="A55" s="208"/>
      <c r="B55" s="190"/>
      <c r="C55" s="190"/>
      <c r="D55" s="190"/>
      <c r="E55" s="190"/>
      <c r="F55" s="209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</row>
    <row r="56">
      <c r="A56" s="208"/>
      <c r="B56" s="190"/>
      <c r="C56" s="190"/>
      <c r="D56" s="190"/>
      <c r="E56" s="190"/>
      <c r="F56" s="209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</row>
    <row r="57">
      <c r="A57" s="208"/>
      <c r="B57" s="190"/>
      <c r="C57" s="190"/>
      <c r="D57" s="190"/>
      <c r="E57" s="190"/>
      <c r="F57" s="209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</row>
    <row r="58">
      <c r="A58" s="208"/>
      <c r="B58" s="190"/>
      <c r="C58" s="190"/>
      <c r="D58" s="190"/>
      <c r="E58" s="190"/>
      <c r="F58" s="209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</row>
    <row r="59">
      <c r="A59" s="208"/>
      <c r="B59" s="190"/>
      <c r="C59" s="190"/>
      <c r="D59" s="190"/>
      <c r="E59" s="190"/>
      <c r="F59" s="209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</row>
    <row r="60">
      <c r="A60" s="208"/>
      <c r="B60" s="190"/>
      <c r="C60" s="190"/>
      <c r="D60" s="190"/>
      <c r="E60" s="190"/>
      <c r="F60" s="209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</row>
    <row r="61">
      <c r="A61" s="208"/>
      <c r="B61" s="190"/>
      <c r="C61" s="190"/>
      <c r="D61" s="190"/>
      <c r="E61" s="190"/>
      <c r="F61" s="209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</row>
    <row r="62">
      <c r="A62" s="208"/>
      <c r="B62" s="190"/>
      <c r="C62" s="190"/>
      <c r="D62" s="190"/>
      <c r="E62" s="190"/>
      <c r="F62" s="209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</row>
    <row r="63">
      <c r="A63" s="208"/>
      <c r="B63" s="190"/>
      <c r="C63" s="190"/>
      <c r="D63" s="190"/>
      <c r="E63" s="190"/>
      <c r="F63" s="209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</row>
    <row r="64">
      <c r="A64" s="208"/>
      <c r="B64" s="190"/>
      <c r="C64" s="190"/>
      <c r="D64" s="190"/>
      <c r="E64" s="190"/>
      <c r="F64" s="209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>
      <c r="A65" s="208"/>
      <c r="B65" s="190"/>
      <c r="C65" s="190"/>
      <c r="D65" s="190"/>
      <c r="E65" s="190"/>
      <c r="F65" s="209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</row>
    <row r="66">
      <c r="A66" s="208"/>
      <c r="B66" s="190"/>
      <c r="C66" s="190"/>
      <c r="D66" s="190"/>
      <c r="E66" s="190"/>
      <c r="F66" s="209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</row>
    <row r="67">
      <c r="A67" s="208"/>
      <c r="B67" s="190"/>
      <c r="C67" s="190"/>
      <c r="D67" s="190"/>
      <c r="E67" s="190"/>
      <c r="F67" s="209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</row>
    <row r="68">
      <c r="A68" s="208"/>
      <c r="B68" s="190"/>
      <c r="C68" s="190"/>
      <c r="D68" s="190"/>
      <c r="E68" s="190"/>
      <c r="F68" s="209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</row>
    <row r="69">
      <c r="A69" s="208"/>
      <c r="B69" s="190"/>
      <c r="C69" s="190"/>
      <c r="D69" s="190"/>
      <c r="E69" s="190"/>
      <c r="F69" s="209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</row>
    <row r="70">
      <c r="A70" s="208"/>
      <c r="B70" s="190"/>
      <c r="C70" s="190"/>
      <c r="D70" s="190"/>
      <c r="E70" s="190"/>
      <c r="F70" s="209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</row>
    <row r="71">
      <c r="A71" s="208"/>
      <c r="B71" s="190"/>
      <c r="C71" s="190"/>
      <c r="D71" s="190"/>
      <c r="E71" s="190"/>
      <c r="F71" s="209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</row>
    <row r="72">
      <c r="A72" s="208"/>
      <c r="B72" s="190"/>
      <c r="C72" s="190"/>
      <c r="D72" s="190"/>
      <c r="E72" s="190"/>
      <c r="F72" s="209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</row>
    <row r="73">
      <c r="A73" s="208"/>
      <c r="B73" s="190"/>
      <c r="C73" s="190"/>
      <c r="D73" s="190"/>
      <c r="E73" s="190"/>
      <c r="F73" s="209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</row>
    <row r="74">
      <c r="A74" s="208"/>
      <c r="B74" s="190"/>
      <c r="C74" s="190"/>
      <c r="D74" s="190"/>
      <c r="E74" s="190"/>
      <c r="F74" s="209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</row>
    <row r="75">
      <c r="A75" s="208"/>
      <c r="B75" s="190"/>
      <c r="C75" s="190"/>
      <c r="D75" s="190"/>
      <c r="E75" s="190"/>
      <c r="F75" s="209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</row>
    <row r="76">
      <c r="A76" s="208"/>
      <c r="B76" s="190"/>
      <c r="C76" s="190"/>
      <c r="D76" s="190"/>
      <c r="E76" s="190"/>
      <c r="F76" s="209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</row>
    <row r="77">
      <c r="A77" s="208"/>
      <c r="B77" s="190"/>
      <c r="C77" s="190"/>
      <c r="D77" s="190"/>
      <c r="E77" s="190"/>
      <c r="F77" s="209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</row>
    <row r="78">
      <c r="A78" s="208"/>
      <c r="B78" s="190"/>
      <c r="C78" s="190"/>
      <c r="D78" s="190"/>
      <c r="E78" s="190"/>
      <c r="F78" s="209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</row>
    <row r="79">
      <c r="A79" s="208"/>
      <c r="B79" s="190"/>
      <c r="C79" s="190"/>
      <c r="D79" s="190"/>
      <c r="E79" s="190"/>
      <c r="F79" s="209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</row>
    <row r="80">
      <c r="A80" s="208"/>
      <c r="B80" s="190"/>
      <c r="C80" s="190"/>
      <c r="D80" s="190"/>
      <c r="E80" s="190"/>
      <c r="F80" s="209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</row>
    <row r="81">
      <c r="A81" s="208"/>
      <c r="B81" s="190"/>
      <c r="C81" s="190"/>
      <c r="D81" s="190"/>
      <c r="E81" s="190"/>
      <c r="F81" s="209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</row>
    <row r="82">
      <c r="A82" s="208"/>
      <c r="B82" s="190"/>
      <c r="C82" s="190"/>
      <c r="D82" s="190"/>
      <c r="E82" s="190"/>
      <c r="F82" s="209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</row>
    <row r="83">
      <c r="A83" s="208"/>
      <c r="B83" s="190"/>
      <c r="C83" s="190"/>
      <c r="D83" s="190"/>
      <c r="E83" s="190"/>
      <c r="F83" s="209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</row>
    <row r="84">
      <c r="A84" s="208"/>
      <c r="B84" s="190"/>
      <c r="C84" s="190"/>
      <c r="D84" s="190"/>
      <c r="E84" s="190"/>
      <c r="F84" s="209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</row>
    <row r="85">
      <c r="A85" s="208"/>
      <c r="B85" s="190"/>
      <c r="C85" s="190"/>
      <c r="D85" s="190"/>
      <c r="E85" s="190"/>
      <c r="F85" s="209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</row>
    <row r="86">
      <c r="A86" s="208"/>
      <c r="B86" s="190"/>
      <c r="C86" s="190"/>
      <c r="D86" s="190"/>
      <c r="E86" s="190"/>
      <c r="F86" s="209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</row>
    <row r="87">
      <c r="A87" s="208"/>
      <c r="B87" s="190"/>
      <c r="C87" s="190"/>
      <c r="D87" s="190"/>
      <c r="E87" s="190"/>
      <c r="F87" s="209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</row>
    <row r="88">
      <c r="A88" s="208"/>
      <c r="B88" s="190"/>
      <c r="C88" s="190"/>
      <c r="D88" s="190"/>
      <c r="E88" s="190"/>
      <c r="F88" s="209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</row>
    <row r="89">
      <c r="A89" s="208"/>
      <c r="B89" s="190"/>
      <c r="C89" s="190"/>
      <c r="D89" s="190"/>
      <c r="E89" s="190"/>
      <c r="F89" s="209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</row>
    <row r="90">
      <c r="A90" s="208"/>
      <c r="B90" s="190"/>
      <c r="C90" s="190"/>
      <c r="D90" s="190"/>
      <c r="E90" s="190"/>
      <c r="F90" s="209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</row>
    <row r="91">
      <c r="A91" s="208"/>
      <c r="B91" s="190"/>
      <c r="C91" s="190"/>
      <c r="D91" s="190"/>
      <c r="E91" s="190"/>
      <c r="F91" s="209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</row>
    <row r="92">
      <c r="A92" s="208"/>
      <c r="B92" s="190"/>
      <c r="C92" s="190"/>
      <c r="D92" s="190"/>
      <c r="E92" s="190"/>
      <c r="F92" s="209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</row>
    <row r="93">
      <c r="A93" s="208"/>
      <c r="B93" s="190"/>
      <c r="C93" s="190"/>
      <c r="D93" s="190"/>
      <c r="E93" s="190"/>
      <c r="F93" s="209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</row>
    <row r="94">
      <c r="A94" s="208"/>
      <c r="B94" s="190"/>
      <c r="C94" s="190"/>
      <c r="D94" s="190"/>
      <c r="E94" s="190"/>
      <c r="F94" s="209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</row>
    <row r="95">
      <c r="A95" s="208"/>
      <c r="B95" s="190"/>
      <c r="C95" s="190"/>
      <c r="D95" s="190"/>
      <c r="E95" s="190"/>
      <c r="F95" s="209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</row>
    <row r="96">
      <c r="A96" s="208"/>
      <c r="B96" s="190"/>
      <c r="C96" s="190"/>
      <c r="D96" s="190"/>
      <c r="E96" s="190"/>
      <c r="F96" s="209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</row>
    <row r="97">
      <c r="A97" s="208"/>
      <c r="B97" s="190"/>
      <c r="C97" s="190"/>
      <c r="D97" s="190"/>
      <c r="E97" s="190"/>
      <c r="F97" s="209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</row>
    <row r="98">
      <c r="A98" s="208"/>
      <c r="B98" s="190"/>
      <c r="C98" s="190"/>
      <c r="D98" s="190"/>
      <c r="E98" s="190"/>
      <c r="F98" s="209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</row>
    <row r="99">
      <c r="A99" s="208"/>
      <c r="B99" s="190"/>
      <c r="C99" s="190"/>
      <c r="D99" s="190"/>
      <c r="E99" s="190"/>
      <c r="F99" s="209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</row>
    <row r="100">
      <c r="A100" s="208"/>
      <c r="B100" s="190"/>
      <c r="C100" s="190"/>
      <c r="D100" s="190"/>
      <c r="E100" s="190"/>
      <c r="F100" s="209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>
      <c r="A101" s="208"/>
      <c r="B101" s="190"/>
      <c r="C101" s="190"/>
      <c r="D101" s="190"/>
      <c r="E101" s="190"/>
      <c r="F101" s="209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</row>
    <row r="102">
      <c r="A102" s="208"/>
      <c r="B102" s="190"/>
      <c r="C102" s="190"/>
      <c r="D102" s="190"/>
      <c r="E102" s="190"/>
      <c r="F102" s="209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</row>
    <row r="103">
      <c r="A103" s="208"/>
      <c r="B103" s="190"/>
      <c r="C103" s="190"/>
      <c r="D103" s="190"/>
      <c r="E103" s="190"/>
      <c r="F103" s="209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</row>
    <row r="104">
      <c r="A104" s="208"/>
      <c r="B104" s="190"/>
      <c r="C104" s="190"/>
      <c r="D104" s="190"/>
      <c r="E104" s="190"/>
      <c r="F104" s="209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</row>
    <row r="105">
      <c r="A105" s="208"/>
      <c r="B105" s="190"/>
      <c r="C105" s="190"/>
      <c r="D105" s="190"/>
      <c r="E105" s="190"/>
      <c r="F105" s="209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</row>
    <row r="106">
      <c r="A106" s="208"/>
      <c r="B106" s="190"/>
      <c r="C106" s="190"/>
      <c r="D106" s="190"/>
      <c r="E106" s="190"/>
      <c r="F106" s="209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</row>
    <row r="107">
      <c r="A107" s="208"/>
      <c r="B107" s="190"/>
      <c r="C107" s="190"/>
      <c r="D107" s="190"/>
      <c r="E107" s="190"/>
      <c r="F107" s="209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</row>
    <row r="108">
      <c r="A108" s="208"/>
      <c r="B108" s="190"/>
      <c r="C108" s="190"/>
      <c r="D108" s="190"/>
      <c r="E108" s="190"/>
      <c r="F108" s="209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</row>
    <row r="109">
      <c r="A109" s="208"/>
      <c r="B109" s="190"/>
      <c r="C109" s="190"/>
      <c r="D109" s="190"/>
      <c r="E109" s="190"/>
      <c r="F109" s="209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</row>
    <row r="110">
      <c r="A110" s="208"/>
      <c r="B110" s="190"/>
      <c r="C110" s="190"/>
      <c r="D110" s="190"/>
      <c r="E110" s="190"/>
      <c r="F110" s="209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</row>
    <row r="111">
      <c r="A111" s="208"/>
      <c r="B111" s="190"/>
      <c r="C111" s="190"/>
      <c r="D111" s="190"/>
      <c r="E111" s="190"/>
      <c r="F111" s="209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</row>
    <row r="112">
      <c r="A112" s="208"/>
      <c r="B112" s="190"/>
      <c r="C112" s="190"/>
      <c r="D112" s="190"/>
      <c r="E112" s="190"/>
      <c r="F112" s="209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</row>
    <row r="113">
      <c r="A113" s="208"/>
      <c r="B113" s="190"/>
      <c r="C113" s="190"/>
      <c r="D113" s="190"/>
      <c r="E113" s="190"/>
      <c r="F113" s="209"/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</row>
    <row r="114">
      <c r="A114" s="208"/>
      <c r="B114" s="190"/>
      <c r="C114" s="190"/>
      <c r="D114" s="190"/>
      <c r="E114" s="190"/>
      <c r="F114" s="209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</row>
    <row r="115">
      <c r="A115" s="208"/>
      <c r="B115" s="190"/>
      <c r="C115" s="190"/>
      <c r="D115" s="190"/>
      <c r="E115" s="190"/>
      <c r="F115" s="209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</row>
    <row r="116">
      <c r="A116" s="208"/>
      <c r="B116" s="190"/>
      <c r="C116" s="190"/>
      <c r="D116" s="190"/>
      <c r="E116" s="190"/>
      <c r="F116" s="209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</row>
    <row r="117">
      <c r="A117" s="208"/>
      <c r="B117" s="190"/>
      <c r="C117" s="190"/>
      <c r="D117" s="190"/>
      <c r="E117" s="190"/>
      <c r="F117" s="209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</row>
    <row r="118">
      <c r="A118" s="208"/>
      <c r="B118" s="190"/>
      <c r="C118" s="190"/>
      <c r="D118" s="190"/>
      <c r="E118" s="190"/>
      <c r="F118" s="209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</row>
    <row r="119">
      <c r="A119" s="208"/>
      <c r="B119" s="190"/>
      <c r="C119" s="190"/>
      <c r="D119" s="190"/>
      <c r="E119" s="190"/>
      <c r="F119" s="209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</row>
    <row r="120">
      <c r="A120" s="208"/>
      <c r="B120" s="190"/>
      <c r="C120" s="190"/>
      <c r="D120" s="190"/>
      <c r="E120" s="190"/>
      <c r="F120" s="209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</row>
    <row r="121">
      <c r="A121" s="208"/>
      <c r="B121" s="190"/>
      <c r="C121" s="190"/>
      <c r="D121" s="190"/>
      <c r="E121" s="190"/>
      <c r="F121" s="209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</row>
    <row r="122">
      <c r="A122" s="208"/>
      <c r="B122" s="190"/>
      <c r="C122" s="190"/>
      <c r="D122" s="190"/>
      <c r="E122" s="190"/>
      <c r="F122" s="209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</row>
    <row r="123">
      <c r="A123" s="208"/>
      <c r="B123" s="190"/>
      <c r="C123" s="190"/>
      <c r="D123" s="190"/>
      <c r="E123" s="190"/>
      <c r="F123" s="209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</row>
    <row r="124">
      <c r="A124" s="208"/>
      <c r="B124" s="190"/>
      <c r="C124" s="190"/>
      <c r="D124" s="190"/>
      <c r="E124" s="190"/>
      <c r="F124" s="209"/>
      <c r="G124" s="190"/>
      <c r="H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</row>
    <row r="125">
      <c r="A125" s="208"/>
      <c r="B125" s="190"/>
      <c r="C125" s="190"/>
      <c r="D125" s="190"/>
      <c r="E125" s="190"/>
      <c r="F125" s="209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</row>
    <row r="126">
      <c r="A126" s="208"/>
      <c r="B126" s="190"/>
      <c r="C126" s="190"/>
      <c r="D126" s="190"/>
      <c r="E126" s="190"/>
      <c r="F126" s="209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</row>
    <row r="127">
      <c r="A127" s="208"/>
      <c r="B127" s="190"/>
      <c r="C127" s="190"/>
      <c r="D127" s="190"/>
      <c r="E127" s="190"/>
      <c r="F127" s="209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</row>
    <row r="128">
      <c r="A128" s="208"/>
      <c r="B128" s="190"/>
      <c r="C128" s="190"/>
      <c r="D128" s="190"/>
      <c r="E128" s="190"/>
      <c r="F128" s="209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</row>
    <row r="129">
      <c r="A129" s="208"/>
      <c r="B129" s="190"/>
      <c r="C129" s="190"/>
      <c r="D129" s="190"/>
      <c r="E129" s="190"/>
      <c r="F129" s="209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</row>
    <row r="130">
      <c r="A130" s="208"/>
      <c r="B130" s="190"/>
      <c r="C130" s="190"/>
      <c r="D130" s="190"/>
      <c r="E130" s="190"/>
      <c r="F130" s="209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</row>
    <row r="131">
      <c r="A131" s="208"/>
      <c r="B131" s="190"/>
      <c r="C131" s="190"/>
      <c r="D131" s="190"/>
      <c r="E131" s="190"/>
      <c r="F131" s="209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</row>
    <row r="132">
      <c r="A132" s="208"/>
      <c r="B132" s="190"/>
      <c r="C132" s="190"/>
      <c r="D132" s="190"/>
      <c r="E132" s="190"/>
      <c r="F132" s="209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</row>
    <row r="133">
      <c r="A133" s="208"/>
      <c r="B133" s="190"/>
      <c r="C133" s="190"/>
      <c r="D133" s="190"/>
      <c r="E133" s="190"/>
      <c r="F133" s="209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</row>
    <row r="134">
      <c r="A134" s="208"/>
      <c r="B134" s="190"/>
      <c r="C134" s="190"/>
      <c r="D134" s="190"/>
      <c r="E134" s="190"/>
      <c r="F134" s="209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</row>
    <row r="135">
      <c r="A135" s="208"/>
      <c r="B135" s="190"/>
      <c r="C135" s="190"/>
      <c r="D135" s="190"/>
      <c r="E135" s="190"/>
      <c r="F135" s="209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</row>
    <row r="136">
      <c r="A136" s="208"/>
      <c r="B136" s="190"/>
      <c r="C136" s="190"/>
      <c r="D136" s="190"/>
      <c r="E136" s="190"/>
      <c r="F136" s="209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</row>
    <row r="137">
      <c r="A137" s="208"/>
      <c r="B137" s="190"/>
      <c r="C137" s="190"/>
      <c r="D137" s="190"/>
      <c r="E137" s="190"/>
      <c r="F137" s="209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</row>
    <row r="138">
      <c r="A138" s="208"/>
      <c r="B138" s="190"/>
      <c r="C138" s="190"/>
      <c r="D138" s="190"/>
      <c r="E138" s="190"/>
      <c r="F138" s="209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</row>
    <row r="139">
      <c r="A139" s="208"/>
      <c r="B139" s="190"/>
      <c r="C139" s="190"/>
      <c r="D139" s="190"/>
      <c r="E139" s="190"/>
      <c r="F139" s="209"/>
      <c r="G139" s="190"/>
      <c r="H139" s="190"/>
      <c r="I139" s="190"/>
      <c r="J139" s="190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</row>
    <row r="140">
      <c r="A140" s="208"/>
      <c r="B140" s="190"/>
      <c r="C140" s="190"/>
      <c r="D140" s="190"/>
      <c r="E140" s="190"/>
      <c r="F140" s="209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</row>
    <row r="141">
      <c r="A141" s="208"/>
      <c r="B141" s="190"/>
      <c r="C141" s="190"/>
      <c r="D141" s="190"/>
      <c r="E141" s="190"/>
      <c r="F141" s="209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</row>
    <row r="142">
      <c r="A142" s="208"/>
      <c r="B142" s="190"/>
      <c r="C142" s="190"/>
      <c r="D142" s="190"/>
      <c r="E142" s="190"/>
      <c r="F142" s="209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</row>
    <row r="143">
      <c r="A143" s="208"/>
      <c r="B143" s="190"/>
      <c r="C143" s="190"/>
      <c r="D143" s="190"/>
      <c r="E143" s="190"/>
      <c r="F143" s="209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</row>
    <row r="144">
      <c r="A144" s="208"/>
      <c r="B144" s="190"/>
      <c r="C144" s="190"/>
      <c r="D144" s="190"/>
      <c r="E144" s="190"/>
      <c r="F144" s="209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</row>
    <row r="145">
      <c r="A145" s="208"/>
      <c r="B145" s="190"/>
      <c r="C145" s="190"/>
      <c r="D145" s="190"/>
      <c r="E145" s="190"/>
      <c r="F145" s="209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</row>
    <row r="146">
      <c r="A146" s="208"/>
      <c r="B146" s="190"/>
      <c r="C146" s="190"/>
      <c r="D146" s="190"/>
      <c r="E146" s="190"/>
      <c r="F146" s="209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</row>
    <row r="147">
      <c r="A147" s="208"/>
      <c r="B147" s="190"/>
      <c r="C147" s="190"/>
      <c r="D147" s="190"/>
      <c r="E147" s="190"/>
      <c r="F147" s="209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</row>
    <row r="148">
      <c r="A148" s="208"/>
      <c r="B148" s="190"/>
      <c r="C148" s="190"/>
      <c r="D148" s="190"/>
      <c r="E148" s="190"/>
      <c r="F148" s="209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</row>
    <row r="149">
      <c r="A149" s="208"/>
      <c r="B149" s="190"/>
      <c r="C149" s="190"/>
      <c r="D149" s="190"/>
      <c r="E149" s="190"/>
      <c r="F149" s="209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</row>
    <row r="150">
      <c r="A150" s="208"/>
      <c r="B150" s="190"/>
      <c r="C150" s="190"/>
      <c r="D150" s="190"/>
      <c r="E150" s="190"/>
      <c r="F150" s="209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</row>
    <row r="151">
      <c r="A151" s="208"/>
      <c r="B151" s="190"/>
      <c r="C151" s="190"/>
      <c r="D151" s="190"/>
      <c r="E151" s="190"/>
      <c r="F151" s="209"/>
      <c r="G151" s="190"/>
      <c r="H151" s="190"/>
      <c r="I151" s="190"/>
      <c r="J151" s="190"/>
      <c r="K151" s="190"/>
      <c r="L151" s="190"/>
      <c r="M151" s="190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</row>
    <row r="152">
      <c r="A152" s="208"/>
      <c r="B152" s="190"/>
      <c r="C152" s="190"/>
      <c r="D152" s="190"/>
      <c r="E152" s="190"/>
      <c r="F152" s="209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</row>
    <row r="153">
      <c r="A153" s="208"/>
      <c r="B153" s="190"/>
      <c r="C153" s="190"/>
      <c r="D153" s="190"/>
      <c r="E153" s="190"/>
      <c r="F153" s="209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</row>
    <row r="154">
      <c r="A154" s="208"/>
      <c r="B154" s="190"/>
      <c r="C154" s="190"/>
      <c r="D154" s="190"/>
      <c r="E154" s="190"/>
      <c r="F154" s="209"/>
      <c r="G154" s="190"/>
      <c r="H154" s="190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</row>
    <row r="155">
      <c r="A155" s="208"/>
      <c r="B155" s="190"/>
      <c r="C155" s="190"/>
      <c r="D155" s="190"/>
      <c r="E155" s="190"/>
      <c r="F155" s="209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</row>
    <row r="156">
      <c r="A156" s="208"/>
      <c r="B156" s="190"/>
      <c r="C156" s="190"/>
      <c r="D156" s="190"/>
      <c r="E156" s="190"/>
      <c r="F156" s="209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</row>
    <row r="157">
      <c r="A157" s="208"/>
      <c r="B157" s="190"/>
      <c r="C157" s="190"/>
      <c r="D157" s="190"/>
      <c r="E157" s="190"/>
      <c r="F157" s="209"/>
      <c r="G157" s="190"/>
      <c r="H157" s="190"/>
      <c r="I157" s="190"/>
      <c r="J157" s="190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</row>
    <row r="158">
      <c r="A158" s="208"/>
      <c r="B158" s="190"/>
      <c r="C158" s="190"/>
      <c r="D158" s="190"/>
      <c r="E158" s="190"/>
      <c r="F158" s="209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</row>
    <row r="159">
      <c r="A159" s="208"/>
      <c r="B159" s="190"/>
      <c r="C159" s="190"/>
      <c r="D159" s="190"/>
      <c r="E159" s="190"/>
      <c r="F159" s="209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</row>
    <row r="160">
      <c r="A160" s="208"/>
      <c r="B160" s="190"/>
      <c r="C160" s="190"/>
      <c r="D160" s="190"/>
      <c r="E160" s="190"/>
      <c r="F160" s="209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</row>
    <row r="161">
      <c r="A161" s="208"/>
      <c r="B161" s="190"/>
      <c r="C161" s="190"/>
      <c r="D161" s="190"/>
      <c r="E161" s="190"/>
      <c r="F161" s="209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</row>
    <row r="162">
      <c r="A162" s="208"/>
      <c r="B162" s="190"/>
      <c r="C162" s="190"/>
      <c r="D162" s="190"/>
      <c r="E162" s="190"/>
      <c r="F162" s="209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</row>
    <row r="163">
      <c r="A163" s="208"/>
      <c r="B163" s="190"/>
      <c r="C163" s="190"/>
      <c r="D163" s="190"/>
      <c r="E163" s="190"/>
      <c r="F163" s="209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</row>
    <row r="164">
      <c r="A164" s="208"/>
      <c r="B164" s="190"/>
      <c r="C164" s="190"/>
      <c r="D164" s="190"/>
      <c r="E164" s="190"/>
      <c r="F164" s="209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</row>
    <row r="165">
      <c r="A165" s="208"/>
      <c r="B165" s="190"/>
      <c r="C165" s="190"/>
      <c r="D165" s="190"/>
      <c r="E165" s="190"/>
      <c r="F165" s="209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</row>
    <row r="166">
      <c r="A166" s="208"/>
      <c r="B166" s="190"/>
      <c r="C166" s="190"/>
      <c r="D166" s="190"/>
      <c r="E166" s="190"/>
      <c r="F166" s="209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</row>
    <row r="167">
      <c r="A167" s="208"/>
      <c r="B167" s="190"/>
      <c r="C167" s="190"/>
      <c r="D167" s="190"/>
      <c r="E167" s="190"/>
      <c r="F167" s="209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</row>
    <row r="168">
      <c r="A168" s="208"/>
      <c r="B168" s="190"/>
      <c r="C168" s="190"/>
      <c r="D168" s="190"/>
      <c r="E168" s="190"/>
      <c r="F168" s="209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</row>
    <row r="169">
      <c r="A169" s="208"/>
      <c r="B169" s="190"/>
      <c r="C169" s="190"/>
      <c r="D169" s="190"/>
      <c r="E169" s="190"/>
      <c r="F169" s="209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</row>
    <row r="170">
      <c r="A170" s="208"/>
      <c r="B170" s="190"/>
      <c r="C170" s="190"/>
      <c r="D170" s="190"/>
      <c r="E170" s="190"/>
      <c r="F170" s="209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</row>
    <row r="171">
      <c r="A171" s="208"/>
      <c r="B171" s="190"/>
      <c r="C171" s="190"/>
      <c r="D171" s="190"/>
      <c r="E171" s="190"/>
      <c r="F171" s="209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</row>
    <row r="172">
      <c r="A172" s="208"/>
      <c r="B172" s="190"/>
      <c r="C172" s="190"/>
      <c r="D172" s="190"/>
      <c r="E172" s="190"/>
      <c r="F172" s="209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</row>
    <row r="173">
      <c r="A173" s="208"/>
      <c r="B173" s="190"/>
      <c r="C173" s="190"/>
      <c r="D173" s="190"/>
      <c r="E173" s="190"/>
      <c r="F173" s="209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</row>
    <row r="174">
      <c r="A174" s="208"/>
      <c r="B174" s="190"/>
      <c r="C174" s="190"/>
      <c r="D174" s="190"/>
      <c r="E174" s="190"/>
      <c r="F174" s="209"/>
      <c r="G174" s="190"/>
      <c r="H174" s="190"/>
      <c r="I174" s="190"/>
      <c r="J174" s="190"/>
      <c r="K174" s="190"/>
      <c r="L174" s="190"/>
      <c r="M174" s="190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</row>
    <row r="175">
      <c r="A175" s="208"/>
      <c r="B175" s="190"/>
      <c r="C175" s="190"/>
      <c r="D175" s="190"/>
      <c r="E175" s="190"/>
      <c r="F175" s="209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</row>
    <row r="176">
      <c r="A176" s="208"/>
      <c r="B176" s="190"/>
      <c r="C176" s="190"/>
      <c r="D176" s="190"/>
      <c r="E176" s="190"/>
      <c r="F176" s="209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</row>
    <row r="177">
      <c r="A177" s="208"/>
      <c r="B177" s="190"/>
      <c r="C177" s="190"/>
      <c r="D177" s="190"/>
      <c r="E177" s="190"/>
      <c r="F177" s="209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</row>
    <row r="178">
      <c r="A178" s="208"/>
      <c r="B178" s="190"/>
      <c r="C178" s="190"/>
      <c r="D178" s="190"/>
      <c r="E178" s="190"/>
      <c r="F178" s="209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</row>
    <row r="179">
      <c r="A179" s="208"/>
      <c r="B179" s="190"/>
      <c r="C179" s="190"/>
      <c r="D179" s="190"/>
      <c r="E179" s="190"/>
      <c r="F179" s="209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</row>
    <row r="180">
      <c r="A180" s="208"/>
      <c r="B180" s="190"/>
      <c r="C180" s="190"/>
      <c r="D180" s="190"/>
      <c r="E180" s="190"/>
      <c r="F180" s="209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</row>
    <row r="181">
      <c r="A181" s="208"/>
      <c r="B181" s="190"/>
      <c r="C181" s="190"/>
      <c r="D181" s="190"/>
      <c r="E181" s="190"/>
      <c r="F181" s="209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</row>
    <row r="182">
      <c r="A182" s="208"/>
      <c r="B182" s="190"/>
      <c r="C182" s="190"/>
      <c r="D182" s="190"/>
      <c r="E182" s="190"/>
      <c r="F182" s="209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</row>
    <row r="183">
      <c r="A183" s="208"/>
      <c r="B183" s="190"/>
      <c r="C183" s="190"/>
      <c r="D183" s="190"/>
      <c r="E183" s="190"/>
      <c r="F183" s="209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</row>
    <row r="184">
      <c r="A184" s="208"/>
      <c r="B184" s="190"/>
      <c r="C184" s="190"/>
      <c r="D184" s="190"/>
      <c r="E184" s="190"/>
      <c r="F184" s="209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</row>
    <row r="185">
      <c r="A185" s="208"/>
      <c r="B185" s="190"/>
      <c r="C185" s="190"/>
      <c r="D185" s="190"/>
      <c r="E185" s="190"/>
      <c r="F185" s="209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</row>
    <row r="186">
      <c r="A186" s="208"/>
      <c r="B186" s="190"/>
      <c r="C186" s="190"/>
      <c r="D186" s="190"/>
      <c r="E186" s="190"/>
      <c r="F186" s="209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</row>
    <row r="187">
      <c r="A187" s="208"/>
      <c r="B187" s="190"/>
      <c r="C187" s="190"/>
      <c r="D187" s="190"/>
      <c r="E187" s="190"/>
      <c r="F187" s="209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</row>
    <row r="188">
      <c r="A188" s="208"/>
      <c r="B188" s="190"/>
      <c r="C188" s="190"/>
      <c r="D188" s="190"/>
      <c r="E188" s="190"/>
      <c r="F188" s="209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</row>
    <row r="189">
      <c r="A189" s="208"/>
      <c r="B189" s="190"/>
      <c r="C189" s="190"/>
      <c r="D189" s="190"/>
      <c r="E189" s="190"/>
      <c r="F189" s="209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</row>
    <row r="190">
      <c r="A190" s="208"/>
      <c r="B190" s="190"/>
      <c r="C190" s="190"/>
      <c r="D190" s="190"/>
      <c r="E190" s="190"/>
      <c r="F190" s="209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</row>
    <row r="191">
      <c r="A191" s="208"/>
      <c r="B191" s="190"/>
      <c r="C191" s="190"/>
      <c r="D191" s="190"/>
      <c r="E191" s="190"/>
      <c r="F191" s="209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</row>
    <row r="192">
      <c r="A192" s="208"/>
      <c r="B192" s="190"/>
      <c r="C192" s="190"/>
      <c r="D192" s="190"/>
      <c r="E192" s="190"/>
      <c r="F192" s="209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</row>
    <row r="193">
      <c r="A193" s="208"/>
      <c r="B193" s="190"/>
      <c r="C193" s="190"/>
      <c r="D193" s="190"/>
      <c r="E193" s="190"/>
      <c r="F193" s="209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</row>
    <row r="194">
      <c r="A194" s="208"/>
      <c r="B194" s="190"/>
      <c r="C194" s="190"/>
      <c r="D194" s="190"/>
      <c r="E194" s="190"/>
      <c r="F194" s="209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</row>
    <row r="195">
      <c r="A195" s="208"/>
      <c r="B195" s="190"/>
      <c r="C195" s="190"/>
      <c r="D195" s="190"/>
      <c r="E195" s="190"/>
      <c r="F195" s="209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</row>
    <row r="196">
      <c r="A196" s="208"/>
      <c r="B196" s="190"/>
      <c r="C196" s="190"/>
      <c r="D196" s="190"/>
      <c r="E196" s="190"/>
      <c r="F196" s="209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</row>
    <row r="197">
      <c r="A197" s="208"/>
      <c r="B197" s="190"/>
      <c r="C197" s="190"/>
      <c r="D197" s="190"/>
      <c r="E197" s="190"/>
      <c r="F197" s="209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</row>
    <row r="198">
      <c r="A198" s="208"/>
      <c r="B198" s="190"/>
      <c r="C198" s="190"/>
      <c r="D198" s="190"/>
      <c r="E198" s="190"/>
      <c r="F198" s="209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</row>
    <row r="199">
      <c r="A199" s="208"/>
      <c r="B199" s="190"/>
      <c r="C199" s="190"/>
      <c r="D199" s="190"/>
      <c r="E199" s="190"/>
      <c r="F199" s="209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</row>
    <row r="200">
      <c r="A200" s="208"/>
      <c r="B200" s="190"/>
      <c r="C200" s="190"/>
      <c r="D200" s="190"/>
      <c r="E200" s="190"/>
      <c r="F200" s="209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</row>
    <row r="201">
      <c r="A201" s="208"/>
      <c r="B201" s="190"/>
      <c r="C201" s="190"/>
      <c r="D201" s="190"/>
      <c r="E201" s="190"/>
      <c r="F201" s="209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</row>
    <row r="202">
      <c r="A202" s="208"/>
      <c r="B202" s="190"/>
      <c r="C202" s="190"/>
      <c r="D202" s="190"/>
      <c r="E202" s="190"/>
      <c r="F202" s="209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</row>
    <row r="203">
      <c r="A203" s="208"/>
      <c r="B203" s="190"/>
      <c r="C203" s="190"/>
      <c r="D203" s="190"/>
      <c r="E203" s="190"/>
      <c r="F203" s="209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</row>
    <row r="204">
      <c r="A204" s="208"/>
      <c r="B204" s="190"/>
      <c r="C204" s="190"/>
      <c r="D204" s="190"/>
      <c r="E204" s="190"/>
      <c r="F204" s="209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</row>
    <row r="205">
      <c r="A205" s="208"/>
      <c r="B205" s="190"/>
      <c r="C205" s="190"/>
      <c r="D205" s="190"/>
      <c r="E205" s="190"/>
      <c r="F205" s="209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</row>
    <row r="206">
      <c r="A206" s="208"/>
      <c r="B206" s="190"/>
      <c r="C206" s="190"/>
      <c r="D206" s="190"/>
      <c r="E206" s="190"/>
      <c r="F206" s="209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</row>
    <row r="207">
      <c r="A207" s="208"/>
      <c r="B207" s="190"/>
      <c r="C207" s="190"/>
      <c r="D207" s="190"/>
      <c r="E207" s="190"/>
      <c r="F207" s="209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</row>
    <row r="208">
      <c r="A208" s="208"/>
      <c r="B208" s="190"/>
      <c r="C208" s="190"/>
      <c r="D208" s="190"/>
      <c r="E208" s="190"/>
      <c r="F208" s="209"/>
      <c r="G208" s="190"/>
      <c r="H208" s="190"/>
      <c r="I208" s="190"/>
      <c r="J208" s="190"/>
      <c r="K208" s="190"/>
      <c r="L208" s="190"/>
      <c r="M208" s="190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</row>
    <row r="209">
      <c r="A209" s="208"/>
      <c r="B209" s="190"/>
      <c r="C209" s="190"/>
      <c r="D209" s="190"/>
      <c r="E209" s="190"/>
      <c r="F209" s="209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</row>
    <row r="210">
      <c r="A210" s="208"/>
      <c r="B210" s="190"/>
      <c r="C210" s="190"/>
      <c r="D210" s="190"/>
      <c r="E210" s="190"/>
      <c r="F210" s="209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</row>
    <row r="211">
      <c r="A211" s="208"/>
      <c r="B211" s="190"/>
      <c r="C211" s="190"/>
      <c r="D211" s="190"/>
      <c r="E211" s="190"/>
      <c r="F211" s="209"/>
      <c r="G211" s="190"/>
      <c r="H211" s="190"/>
      <c r="I211" s="190"/>
      <c r="J211" s="190"/>
      <c r="K211" s="190"/>
      <c r="L211" s="190"/>
      <c r="M211" s="190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</row>
    <row r="212">
      <c r="A212" s="208"/>
      <c r="B212" s="190"/>
      <c r="C212" s="190"/>
      <c r="D212" s="190"/>
      <c r="E212" s="190"/>
      <c r="F212" s="209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</row>
    <row r="213">
      <c r="A213" s="208"/>
      <c r="B213" s="190"/>
      <c r="C213" s="190"/>
      <c r="D213" s="190"/>
      <c r="E213" s="190"/>
      <c r="F213" s="209"/>
      <c r="G213" s="190"/>
      <c r="H213" s="190"/>
      <c r="I213" s="190"/>
      <c r="J213" s="190"/>
      <c r="K213" s="190"/>
      <c r="L213" s="190"/>
      <c r="M213" s="190"/>
      <c r="N213" s="190"/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</row>
    <row r="214">
      <c r="A214" s="208"/>
      <c r="B214" s="190"/>
      <c r="C214" s="190"/>
      <c r="D214" s="190"/>
      <c r="E214" s="190"/>
      <c r="F214" s="209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</row>
    <row r="215">
      <c r="A215" s="208"/>
      <c r="B215" s="190"/>
      <c r="C215" s="190"/>
      <c r="D215" s="190"/>
      <c r="E215" s="190"/>
      <c r="F215" s="209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</row>
    <row r="216">
      <c r="A216" s="208"/>
      <c r="B216" s="190"/>
      <c r="C216" s="190"/>
      <c r="D216" s="190"/>
      <c r="E216" s="190"/>
      <c r="F216" s="209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</row>
    <row r="217">
      <c r="A217" s="208"/>
      <c r="B217" s="190"/>
      <c r="C217" s="190"/>
      <c r="D217" s="190"/>
      <c r="E217" s="190"/>
      <c r="F217" s="209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</row>
    <row r="218">
      <c r="A218" s="208"/>
      <c r="B218" s="190"/>
      <c r="C218" s="190"/>
      <c r="D218" s="190"/>
      <c r="E218" s="190"/>
      <c r="F218" s="209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</row>
    <row r="219">
      <c r="A219" s="208"/>
      <c r="B219" s="190"/>
      <c r="C219" s="190"/>
      <c r="D219" s="190"/>
      <c r="E219" s="190"/>
      <c r="F219" s="209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</row>
    <row r="220">
      <c r="A220" s="208"/>
      <c r="B220" s="190"/>
      <c r="C220" s="190"/>
      <c r="D220" s="190"/>
      <c r="E220" s="190"/>
      <c r="F220" s="209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</row>
    <row r="221">
      <c r="A221" s="208"/>
      <c r="B221" s="190"/>
      <c r="C221" s="190"/>
      <c r="D221" s="190"/>
      <c r="E221" s="190"/>
      <c r="F221" s="209"/>
      <c r="G221" s="190"/>
      <c r="H221" s="190"/>
      <c r="I221" s="190"/>
      <c r="J221" s="190"/>
      <c r="K221" s="190"/>
      <c r="L221" s="190"/>
      <c r="M221" s="190"/>
      <c r="N221" s="190"/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</row>
    <row r="222">
      <c r="A222" s="208"/>
      <c r="B222" s="190"/>
      <c r="C222" s="190"/>
      <c r="D222" s="190"/>
      <c r="E222" s="190"/>
      <c r="F222" s="209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</row>
    <row r="223">
      <c r="A223" s="208"/>
      <c r="B223" s="190"/>
      <c r="C223" s="190"/>
      <c r="D223" s="190"/>
      <c r="E223" s="190"/>
      <c r="F223" s="209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</row>
    <row r="224">
      <c r="A224" s="208"/>
      <c r="B224" s="190"/>
      <c r="C224" s="190"/>
      <c r="D224" s="190"/>
      <c r="E224" s="190"/>
      <c r="F224" s="209"/>
      <c r="G224" s="190"/>
      <c r="H224" s="190"/>
      <c r="I224" s="190"/>
      <c r="J224" s="190"/>
      <c r="K224" s="190"/>
      <c r="L224" s="190"/>
      <c r="M224" s="190"/>
      <c r="N224" s="190"/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</row>
    <row r="225">
      <c r="A225" s="208"/>
      <c r="B225" s="190"/>
      <c r="C225" s="190"/>
      <c r="D225" s="190"/>
      <c r="E225" s="190"/>
      <c r="F225" s="209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</row>
    <row r="226">
      <c r="A226" s="208"/>
      <c r="B226" s="190"/>
      <c r="C226" s="190"/>
      <c r="D226" s="190"/>
      <c r="E226" s="190"/>
      <c r="F226" s="209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</row>
    <row r="227">
      <c r="A227" s="208"/>
      <c r="B227" s="190"/>
      <c r="C227" s="190"/>
      <c r="D227" s="190"/>
      <c r="E227" s="190"/>
      <c r="F227" s="209"/>
      <c r="G227" s="190"/>
      <c r="H227" s="190"/>
      <c r="I227" s="190"/>
      <c r="J227" s="190"/>
      <c r="K227" s="190"/>
      <c r="L227" s="190"/>
      <c r="M227" s="190"/>
      <c r="N227" s="190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</row>
    <row r="228">
      <c r="A228" s="208"/>
      <c r="B228" s="190"/>
      <c r="C228" s="190"/>
      <c r="D228" s="190"/>
      <c r="E228" s="190"/>
      <c r="F228" s="209"/>
      <c r="G228" s="190"/>
      <c r="H228" s="190"/>
      <c r="I228" s="190"/>
      <c r="J228" s="190"/>
      <c r="K228" s="190"/>
      <c r="L228" s="190"/>
      <c r="M228" s="190"/>
      <c r="N228" s="190"/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</row>
    <row r="229">
      <c r="A229" s="208"/>
      <c r="B229" s="190"/>
      <c r="C229" s="190"/>
      <c r="D229" s="190"/>
      <c r="E229" s="190"/>
      <c r="F229" s="209"/>
      <c r="G229" s="190"/>
      <c r="H229" s="190"/>
      <c r="I229" s="190"/>
      <c r="J229" s="190"/>
      <c r="K229" s="190"/>
      <c r="L229" s="190"/>
      <c r="M229" s="190"/>
      <c r="N229" s="190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</row>
    <row r="230">
      <c r="A230" s="208"/>
      <c r="B230" s="190"/>
      <c r="C230" s="190"/>
      <c r="D230" s="190"/>
      <c r="E230" s="190"/>
      <c r="F230" s="209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</row>
    <row r="231">
      <c r="A231" s="208"/>
      <c r="B231" s="190"/>
      <c r="C231" s="190"/>
      <c r="D231" s="190"/>
      <c r="E231" s="190"/>
      <c r="F231" s="209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</row>
    <row r="232">
      <c r="A232" s="208"/>
      <c r="B232" s="190"/>
      <c r="C232" s="190"/>
      <c r="D232" s="190"/>
      <c r="E232" s="190"/>
      <c r="F232" s="209"/>
      <c r="G232" s="190"/>
      <c r="H232" s="190"/>
      <c r="I232" s="190"/>
      <c r="J232" s="190"/>
      <c r="K232" s="190"/>
      <c r="L232" s="190"/>
      <c r="M232" s="190"/>
      <c r="N232" s="190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</row>
    <row r="233">
      <c r="A233" s="208"/>
      <c r="B233" s="190"/>
      <c r="C233" s="190"/>
      <c r="D233" s="190"/>
      <c r="E233" s="190"/>
      <c r="F233" s="209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</row>
    <row r="234">
      <c r="A234" s="208"/>
      <c r="B234" s="190"/>
      <c r="C234" s="190"/>
      <c r="D234" s="190"/>
      <c r="E234" s="190"/>
      <c r="F234" s="209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</row>
    <row r="235">
      <c r="A235" s="208"/>
      <c r="B235" s="190"/>
      <c r="C235" s="190"/>
      <c r="D235" s="190"/>
      <c r="E235" s="190"/>
      <c r="F235" s="209"/>
      <c r="G235" s="190"/>
      <c r="H235" s="190"/>
      <c r="I235" s="190"/>
      <c r="J235" s="190"/>
      <c r="K235" s="190"/>
      <c r="L235" s="190"/>
      <c r="M235" s="190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</row>
    <row r="236">
      <c r="A236" s="208"/>
      <c r="B236" s="190"/>
      <c r="C236" s="190"/>
      <c r="D236" s="190"/>
      <c r="E236" s="190"/>
      <c r="F236" s="209"/>
      <c r="G236" s="190"/>
      <c r="H236" s="190"/>
      <c r="I236" s="190"/>
      <c r="J236" s="190"/>
      <c r="K236" s="190"/>
      <c r="L236" s="190"/>
      <c r="M236" s="190"/>
      <c r="N236" s="190"/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</row>
    <row r="237">
      <c r="A237" s="208"/>
      <c r="B237" s="190"/>
      <c r="C237" s="190"/>
      <c r="D237" s="190"/>
      <c r="E237" s="190"/>
      <c r="F237" s="209"/>
      <c r="G237" s="190"/>
      <c r="H237" s="190"/>
      <c r="I237" s="190"/>
      <c r="J237" s="190"/>
      <c r="K237" s="190"/>
      <c r="L237" s="190"/>
      <c r="M237" s="190"/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</row>
    <row r="238">
      <c r="A238" s="208"/>
      <c r="B238" s="190"/>
      <c r="C238" s="190"/>
      <c r="D238" s="190"/>
      <c r="E238" s="190"/>
      <c r="F238" s="209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</row>
    <row r="239">
      <c r="A239" s="208"/>
      <c r="B239" s="190"/>
      <c r="C239" s="190"/>
      <c r="D239" s="190"/>
      <c r="E239" s="190"/>
      <c r="F239" s="209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</row>
    <row r="240">
      <c r="A240" s="208"/>
      <c r="B240" s="190"/>
      <c r="C240" s="190"/>
      <c r="D240" s="190"/>
      <c r="E240" s="190"/>
      <c r="F240" s="209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</row>
    <row r="241">
      <c r="A241" s="208"/>
      <c r="B241" s="190"/>
      <c r="C241" s="190"/>
      <c r="D241" s="190"/>
      <c r="E241" s="190"/>
      <c r="F241" s="209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</row>
    <row r="242">
      <c r="A242" s="208"/>
      <c r="B242" s="190"/>
      <c r="C242" s="190"/>
      <c r="D242" s="190"/>
      <c r="E242" s="190"/>
      <c r="F242" s="209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</row>
    <row r="243">
      <c r="A243" s="208"/>
      <c r="B243" s="190"/>
      <c r="C243" s="190"/>
      <c r="D243" s="190"/>
      <c r="E243" s="190"/>
      <c r="F243" s="209"/>
      <c r="G243" s="190"/>
      <c r="H243" s="190"/>
      <c r="I243" s="190"/>
      <c r="J243" s="190"/>
      <c r="K243" s="190"/>
      <c r="L243" s="190"/>
      <c r="M243" s="190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</row>
    <row r="244">
      <c r="A244" s="208"/>
      <c r="B244" s="190"/>
      <c r="C244" s="190"/>
      <c r="D244" s="190"/>
      <c r="E244" s="190"/>
      <c r="F244" s="209"/>
      <c r="G244" s="190"/>
      <c r="H244" s="190"/>
      <c r="I244" s="190"/>
      <c r="J244" s="190"/>
      <c r="K244" s="190"/>
      <c r="L244" s="190"/>
      <c r="M244" s="190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</row>
    <row r="245">
      <c r="A245" s="208"/>
      <c r="B245" s="190"/>
      <c r="C245" s="190"/>
      <c r="D245" s="190"/>
      <c r="E245" s="190"/>
      <c r="F245" s="209"/>
      <c r="G245" s="190"/>
      <c r="H245" s="190"/>
      <c r="I245" s="190"/>
      <c r="J245" s="190"/>
      <c r="K245" s="190"/>
      <c r="L245" s="190"/>
      <c r="M245" s="190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</row>
    <row r="246">
      <c r="A246" s="208"/>
      <c r="B246" s="190"/>
      <c r="C246" s="190"/>
      <c r="D246" s="190"/>
      <c r="E246" s="190"/>
      <c r="F246" s="209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</row>
    <row r="247">
      <c r="A247" s="208"/>
      <c r="B247" s="190"/>
      <c r="C247" s="190"/>
      <c r="D247" s="190"/>
      <c r="E247" s="190"/>
      <c r="F247" s="209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</row>
    <row r="248">
      <c r="A248" s="208"/>
      <c r="B248" s="190"/>
      <c r="C248" s="190"/>
      <c r="D248" s="190"/>
      <c r="E248" s="190"/>
      <c r="F248" s="209"/>
      <c r="G248" s="190"/>
      <c r="H248" s="190"/>
      <c r="I248" s="190"/>
      <c r="J248" s="190"/>
      <c r="K248" s="190"/>
      <c r="L248" s="190"/>
      <c r="M248" s="190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</row>
    <row r="249">
      <c r="A249" s="208"/>
      <c r="B249" s="190"/>
      <c r="C249" s="190"/>
      <c r="D249" s="190"/>
      <c r="E249" s="190"/>
      <c r="F249" s="209"/>
      <c r="G249" s="190"/>
      <c r="H249" s="190"/>
      <c r="I249" s="190"/>
      <c r="J249" s="190"/>
      <c r="K249" s="190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</row>
    <row r="250">
      <c r="A250" s="208"/>
      <c r="B250" s="190"/>
      <c r="C250" s="190"/>
      <c r="D250" s="190"/>
      <c r="E250" s="190"/>
      <c r="F250" s="209"/>
      <c r="G250" s="190"/>
      <c r="H250" s="190"/>
      <c r="I250" s="190"/>
      <c r="J250" s="190"/>
      <c r="K250" s="190"/>
      <c r="L250" s="190"/>
      <c r="M250" s="190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</row>
    <row r="251">
      <c r="A251" s="208"/>
      <c r="B251" s="190"/>
      <c r="C251" s="190"/>
      <c r="D251" s="190"/>
      <c r="E251" s="190"/>
      <c r="F251" s="209"/>
      <c r="G251" s="190"/>
      <c r="H251" s="190"/>
      <c r="I251" s="190"/>
      <c r="J251" s="190"/>
      <c r="K251" s="190"/>
      <c r="L251" s="190"/>
      <c r="M251" s="190"/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</row>
    <row r="252">
      <c r="A252" s="208"/>
      <c r="B252" s="190"/>
      <c r="C252" s="190"/>
      <c r="D252" s="190"/>
      <c r="E252" s="190"/>
      <c r="F252" s="209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</row>
    <row r="253">
      <c r="A253" s="208"/>
      <c r="B253" s="190"/>
      <c r="C253" s="190"/>
      <c r="D253" s="190"/>
      <c r="E253" s="190"/>
      <c r="F253" s="209"/>
      <c r="G253" s="190"/>
      <c r="H253" s="190"/>
      <c r="I253" s="190"/>
      <c r="J253" s="190"/>
      <c r="K253" s="190"/>
      <c r="L253" s="190"/>
      <c r="M253" s="190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</row>
    <row r="254">
      <c r="A254" s="208"/>
      <c r="B254" s="190"/>
      <c r="C254" s="190"/>
      <c r="D254" s="190"/>
      <c r="E254" s="190"/>
      <c r="F254" s="209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</row>
    <row r="255">
      <c r="A255" s="208"/>
      <c r="B255" s="190"/>
      <c r="C255" s="190"/>
      <c r="D255" s="190"/>
      <c r="E255" s="190"/>
      <c r="F255" s="209"/>
      <c r="G255" s="190"/>
      <c r="H255" s="190"/>
      <c r="I255" s="190"/>
      <c r="J255" s="190"/>
      <c r="K255" s="190"/>
      <c r="L255" s="190"/>
      <c r="M255" s="190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</row>
    <row r="256">
      <c r="A256" s="208"/>
      <c r="B256" s="190"/>
      <c r="C256" s="190"/>
      <c r="D256" s="190"/>
      <c r="E256" s="190"/>
      <c r="F256" s="209"/>
      <c r="G256" s="190"/>
      <c r="H256" s="190"/>
      <c r="I256" s="190"/>
      <c r="J256" s="190"/>
      <c r="K256" s="190"/>
      <c r="L256" s="190"/>
      <c r="M256" s="190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</row>
    <row r="257">
      <c r="A257" s="208"/>
      <c r="B257" s="190"/>
      <c r="C257" s="190"/>
      <c r="D257" s="190"/>
      <c r="E257" s="190"/>
      <c r="F257" s="209"/>
      <c r="G257" s="190"/>
      <c r="H257" s="190"/>
      <c r="I257" s="190"/>
      <c r="J257" s="190"/>
      <c r="K257" s="190"/>
      <c r="L257" s="190"/>
      <c r="M257" s="190"/>
      <c r="N257" s="190"/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</row>
    <row r="258">
      <c r="A258" s="208"/>
      <c r="B258" s="190"/>
      <c r="C258" s="190"/>
      <c r="D258" s="190"/>
      <c r="E258" s="190"/>
      <c r="F258" s="209"/>
      <c r="G258" s="190"/>
      <c r="H258" s="190"/>
      <c r="I258" s="190"/>
      <c r="J258" s="190"/>
      <c r="K258" s="190"/>
      <c r="L258" s="190"/>
      <c r="M258" s="190"/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</row>
    <row r="259">
      <c r="A259" s="208"/>
      <c r="B259" s="190"/>
      <c r="C259" s="190"/>
      <c r="D259" s="190"/>
      <c r="E259" s="190"/>
      <c r="F259" s="209"/>
      <c r="G259" s="190"/>
      <c r="H259" s="190"/>
      <c r="I259" s="190"/>
      <c r="J259" s="190"/>
      <c r="K259" s="190"/>
      <c r="L259" s="190"/>
      <c r="M259" s="190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</row>
    <row r="260">
      <c r="A260" s="208"/>
      <c r="B260" s="190"/>
      <c r="C260" s="190"/>
      <c r="D260" s="190"/>
      <c r="E260" s="190"/>
      <c r="F260" s="209"/>
      <c r="G260" s="190"/>
      <c r="H260" s="190"/>
      <c r="I260" s="190"/>
      <c r="J260" s="190"/>
      <c r="K260" s="190"/>
      <c r="L260" s="190"/>
      <c r="M260" s="190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</row>
    <row r="261">
      <c r="A261" s="208"/>
      <c r="B261" s="190"/>
      <c r="C261" s="190"/>
      <c r="D261" s="190"/>
      <c r="E261" s="190"/>
      <c r="F261" s="209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</row>
    <row r="262">
      <c r="A262" s="208"/>
      <c r="B262" s="190"/>
      <c r="C262" s="190"/>
      <c r="D262" s="190"/>
      <c r="E262" s="190"/>
      <c r="F262" s="209"/>
      <c r="G262" s="190"/>
      <c r="H262" s="190"/>
      <c r="I262" s="190"/>
      <c r="J262" s="190"/>
      <c r="K262" s="190"/>
      <c r="L262" s="190"/>
      <c r="M262" s="190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</row>
    <row r="263">
      <c r="A263" s="208"/>
      <c r="B263" s="190"/>
      <c r="C263" s="190"/>
      <c r="D263" s="190"/>
      <c r="E263" s="190"/>
      <c r="F263" s="209"/>
      <c r="G263" s="190"/>
      <c r="H263" s="190"/>
      <c r="I263" s="190"/>
      <c r="J263" s="190"/>
      <c r="K263" s="190"/>
      <c r="L263" s="190"/>
      <c r="M263" s="190"/>
      <c r="N263" s="190"/>
      <c r="O263" s="190"/>
      <c r="P263" s="190"/>
      <c r="Q263" s="190"/>
      <c r="R263" s="190"/>
      <c r="S263" s="190"/>
      <c r="T263" s="190"/>
      <c r="U263" s="190"/>
      <c r="V263" s="190"/>
      <c r="W263" s="190"/>
      <c r="X263" s="190"/>
      <c r="Y263" s="190"/>
      <c r="Z263" s="190"/>
    </row>
    <row r="264">
      <c r="A264" s="208"/>
      <c r="B264" s="190"/>
      <c r="C264" s="190"/>
      <c r="D264" s="190"/>
      <c r="E264" s="190"/>
      <c r="F264" s="209"/>
      <c r="G264" s="190"/>
      <c r="H264" s="190"/>
      <c r="I264" s="190"/>
      <c r="J264" s="190"/>
      <c r="K264" s="190"/>
      <c r="L264" s="190"/>
      <c r="M264" s="190"/>
      <c r="N264" s="190"/>
      <c r="O264" s="190"/>
      <c r="P264" s="190"/>
      <c r="Q264" s="190"/>
      <c r="R264" s="190"/>
      <c r="S264" s="190"/>
      <c r="T264" s="190"/>
      <c r="U264" s="190"/>
      <c r="V264" s="190"/>
      <c r="W264" s="190"/>
      <c r="X264" s="190"/>
      <c r="Y264" s="190"/>
      <c r="Z264" s="190"/>
    </row>
    <row r="265">
      <c r="A265" s="208"/>
      <c r="B265" s="190"/>
      <c r="C265" s="190"/>
      <c r="D265" s="190"/>
      <c r="E265" s="190"/>
      <c r="F265" s="209"/>
      <c r="G265" s="190"/>
      <c r="H265" s="190"/>
      <c r="I265" s="190"/>
      <c r="J265" s="190"/>
      <c r="K265" s="190"/>
      <c r="L265" s="190"/>
      <c r="M265" s="190"/>
      <c r="N265" s="190"/>
      <c r="O265" s="190"/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</row>
    <row r="266">
      <c r="A266" s="208"/>
      <c r="B266" s="190"/>
      <c r="C266" s="190"/>
      <c r="D266" s="190"/>
      <c r="E266" s="190"/>
      <c r="F266" s="209"/>
      <c r="G266" s="190"/>
      <c r="H266" s="190"/>
      <c r="I266" s="190"/>
      <c r="J266" s="190"/>
      <c r="K266" s="190"/>
      <c r="L266" s="190"/>
      <c r="M266" s="190"/>
      <c r="N266" s="190"/>
      <c r="O266" s="190"/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</row>
    <row r="267">
      <c r="A267" s="208"/>
      <c r="B267" s="190"/>
      <c r="C267" s="190"/>
      <c r="D267" s="190"/>
      <c r="E267" s="190"/>
      <c r="F267" s="209"/>
      <c r="G267" s="190"/>
      <c r="H267" s="190"/>
      <c r="I267" s="190"/>
      <c r="J267" s="190"/>
      <c r="K267" s="190"/>
      <c r="L267" s="190"/>
      <c r="M267" s="190"/>
      <c r="N267" s="190"/>
      <c r="O267" s="190"/>
      <c r="P267" s="190"/>
      <c r="Q267" s="190"/>
      <c r="R267" s="190"/>
      <c r="S267" s="190"/>
      <c r="T267" s="190"/>
      <c r="U267" s="190"/>
      <c r="V267" s="190"/>
      <c r="W267" s="190"/>
      <c r="X267" s="190"/>
      <c r="Y267" s="190"/>
      <c r="Z267" s="190"/>
    </row>
    <row r="268">
      <c r="A268" s="208"/>
      <c r="B268" s="190"/>
      <c r="C268" s="190"/>
      <c r="D268" s="190"/>
      <c r="E268" s="190"/>
      <c r="F268" s="209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190"/>
      <c r="R268" s="190"/>
      <c r="S268" s="190"/>
      <c r="T268" s="190"/>
      <c r="U268" s="190"/>
      <c r="V268" s="190"/>
      <c r="W268" s="190"/>
      <c r="X268" s="190"/>
      <c r="Y268" s="190"/>
      <c r="Z268" s="190"/>
    </row>
    <row r="269">
      <c r="A269" s="208"/>
      <c r="B269" s="190"/>
      <c r="C269" s="190"/>
      <c r="D269" s="190"/>
      <c r="E269" s="190"/>
      <c r="F269" s="209"/>
      <c r="G269" s="190"/>
      <c r="H269" s="190"/>
      <c r="I269" s="190"/>
      <c r="J269" s="190"/>
      <c r="K269" s="190"/>
      <c r="L269" s="190"/>
      <c r="M269" s="190"/>
      <c r="N269" s="190"/>
      <c r="O269" s="190"/>
      <c r="P269" s="190"/>
      <c r="Q269" s="190"/>
      <c r="R269" s="190"/>
      <c r="S269" s="190"/>
      <c r="T269" s="190"/>
      <c r="U269" s="190"/>
      <c r="V269" s="190"/>
      <c r="W269" s="190"/>
      <c r="X269" s="190"/>
      <c r="Y269" s="190"/>
      <c r="Z269" s="190"/>
    </row>
    <row r="270">
      <c r="A270" s="208"/>
      <c r="B270" s="190"/>
      <c r="C270" s="190"/>
      <c r="D270" s="190"/>
      <c r="E270" s="190"/>
      <c r="F270" s="209"/>
      <c r="G270" s="190"/>
      <c r="H270" s="190"/>
      <c r="I270" s="190"/>
      <c r="J270" s="190"/>
      <c r="K270" s="190"/>
      <c r="L270" s="190"/>
      <c r="M270" s="190"/>
      <c r="N270" s="190"/>
      <c r="O270" s="190"/>
      <c r="P270" s="190"/>
      <c r="Q270" s="190"/>
      <c r="R270" s="190"/>
      <c r="S270" s="190"/>
      <c r="T270" s="190"/>
      <c r="U270" s="190"/>
      <c r="V270" s="190"/>
      <c r="W270" s="190"/>
      <c r="X270" s="190"/>
      <c r="Y270" s="190"/>
      <c r="Z270" s="190"/>
    </row>
    <row r="271">
      <c r="A271" s="208"/>
      <c r="B271" s="190"/>
      <c r="C271" s="190"/>
      <c r="D271" s="190"/>
      <c r="E271" s="190"/>
      <c r="F271" s="209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</row>
    <row r="272">
      <c r="A272" s="208"/>
      <c r="B272" s="190"/>
      <c r="C272" s="190"/>
      <c r="D272" s="190"/>
      <c r="E272" s="190"/>
      <c r="F272" s="209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</row>
    <row r="273">
      <c r="A273" s="208"/>
      <c r="B273" s="190"/>
      <c r="C273" s="190"/>
      <c r="D273" s="190"/>
      <c r="E273" s="190"/>
      <c r="F273" s="209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</row>
    <row r="274">
      <c r="A274" s="208"/>
      <c r="B274" s="190"/>
      <c r="C274" s="190"/>
      <c r="D274" s="190"/>
      <c r="E274" s="190"/>
      <c r="F274" s="209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</row>
    <row r="275">
      <c r="A275" s="208"/>
      <c r="B275" s="190"/>
      <c r="C275" s="190"/>
      <c r="D275" s="190"/>
      <c r="E275" s="190"/>
      <c r="F275" s="209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</row>
    <row r="276">
      <c r="A276" s="208"/>
      <c r="B276" s="190"/>
      <c r="C276" s="190"/>
      <c r="D276" s="190"/>
      <c r="E276" s="190"/>
      <c r="F276" s="209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</row>
    <row r="277">
      <c r="A277" s="208"/>
      <c r="B277" s="190"/>
      <c r="C277" s="190"/>
      <c r="D277" s="190"/>
      <c r="E277" s="190"/>
      <c r="F277" s="209"/>
      <c r="G277" s="190"/>
      <c r="H277" s="190"/>
      <c r="I277" s="190"/>
      <c r="J277" s="190"/>
      <c r="K277" s="190"/>
      <c r="L277" s="190"/>
      <c r="M277" s="190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</row>
    <row r="278">
      <c r="A278" s="208"/>
      <c r="B278" s="190"/>
      <c r="C278" s="190"/>
      <c r="D278" s="190"/>
      <c r="E278" s="190"/>
      <c r="F278" s="209"/>
      <c r="G278" s="190"/>
      <c r="H278" s="190"/>
      <c r="I278" s="190"/>
      <c r="J278" s="190"/>
      <c r="K278" s="190"/>
      <c r="L278" s="190"/>
      <c r="M278" s="190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</row>
    <row r="279">
      <c r="A279" s="208"/>
      <c r="B279" s="190"/>
      <c r="C279" s="190"/>
      <c r="D279" s="190"/>
      <c r="E279" s="190"/>
      <c r="F279" s="209"/>
      <c r="G279" s="190"/>
      <c r="H279" s="190"/>
      <c r="I279" s="190"/>
      <c r="J279" s="190"/>
      <c r="K279" s="190"/>
      <c r="L279" s="190"/>
      <c r="M279" s="190"/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</row>
    <row r="280">
      <c r="A280" s="208"/>
      <c r="B280" s="190"/>
      <c r="C280" s="190"/>
      <c r="D280" s="190"/>
      <c r="E280" s="190"/>
      <c r="F280" s="209"/>
      <c r="G280" s="190"/>
      <c r="H280" s="190"/>
      <c r="I280" s="190"/>
      <c r="J280" s="190"/>
      <c r="K280" s="190"/>
      <c r="L280" s="190"/>
      <c r="M280" s="190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</row>
    <row r="281">
      <c r="A281" s="208"/>
      <c r="B281" s="190"/>
      <c r="C281" s="190"/>
      <c r="D281" s="190"/>
      <c r="E281" s="190"/>
      <c r="F281" s="209"/>
      <c r="G281" s="190"/>
      <c r="H281" s="190"/>
      <c r="I281" s="190"/>
      <c r="J281" s="190"/>
      <c r="K281" s="190"/>
      <c r="L281" s="190"/>
      <c r="M281" s="190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</row>
    <row r="282">
      <c r="A282" s="208"/>
      <c r="B282" s="190"/>
      <c r="C282" s="190"/>
      <c r="D282" s="190"/>
      <c r="E282" s="190"/>
      <c r="F282" s="209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</row>
    <row r="283">
      <c r="A283" s="208"/>
      <c r="B283" s="190"/>
      <c r="C283" s="190"/>
      <c r="D283" s="190"/>
      <c r="E283" s="190"/>
      <c r="F283" s="209"/>
      <c r="G283" s="190"/>
      <c r="H283" s="190"/>
      <c r="I283" s="190"/>
      <c r="J283" s="190"/>
      <c r="K283" s="190"/>
      <c r="L283" s="190"/>
      <c r="M283" s="190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</row>
    <row r="284">
      <c r="A284" s="208"/>
      <c r="B284" s="190"/>
      <c r="C284" s="190"/>
      <c r="D284" s="190"/>
      <c r="E284" s="190"/>
      <c r="F284" s="209"/>
      <c r="G284" s="190"/>
      <c r="H284" s="190"/>
      <c r="I284" s="190"/>
      <c r="J284" s="190"/>
      <c r="K284" s="190"/>
      <c r="L284" s="190"/>
      <c r="M284" s="190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</row>
    <row r="285">
      <c r="A285" s="208"/>
      <c r="B285" s="190"/>
      <c r="C285" s="190"/>
      <c r="D285" s="190"/>
      <c r="E285" s="190"/>
      <c r="F285" s="209"/>
      <c r="G285" s="190"/>
      <c r="H285" s="190"/>
      <c r="I285" s="190"/>
      <c r="J285" s="190"/>
      <c r="K285" s="190"/>
      <c r="L285" s="190"/>
      <c r="M285" s="190"/>
      <c r="N285" s="190"/>
      <c r="O285" s="190"/>
      <c r="P285" s="190"/>
      <c r="Q285" s="190"/>
      <c r="R285" s="190"/>
      <c r="S285" s="190"/>
      <c r="T285" s="190"/>
      <c r="U285" s="190"/>
      <c r="V285" s="190"/>
      <c r="W285" s="190"/>
      <c r="X285" s="190"/>
      <c r="Y285" s="190"/>
      <c r="Z285" s="190"/>
    </row>
    <row r="286">
      <c r="A286" s="208"/>
      <c r="B286" s="190"/>
      <c r="C286" s="190"/>
      <c r="D286" s="190"/>
      <c r="E286" s="190"/>
      <c r="F286" s="209"/>
      <c r="G286" s="190"/>
      <c r="H286" s="190"/>
      <c r="I286" s="190"/>
      <c r="J286" s="190"/>
      <c r="K286" s="190"/>
      <c r="L286" s="190"/>
      <c r="M286" s="190"/>
      <c r="N286" s="190"/>
      <c r="O286" s="190"/>
      <c r="P286" s="190"/>
      <c r="Q286" s="190"/>
      <c r="R286" s="190"/>
      <c r="S286" s="190"/>
      <c r="T286" s="190"/>
      <c r="U286" s="190"/>
      <c r="V286" s="190"/>
      <c r="W286" s="190"/>
      <c r="X286" s="190"/>
      <c r="Y286" s="190"/>
      <c r="Z286" s="190"/>
    </row>
    <row r="287">
      <c r="A287" s="208"/>
      <c r="B287" s="190"/>
      <c r="C287" s="190"/>
      <c r="D287" s="190"/>
      <c r="E287" s="190"/>
      <c r="F287" s="209"/>
      <c r="G287" s="190"/>
      <c r="H287" s="190"/>
      <c r="I287" s="190"/>
      <c r="J287" s="190"/>
      <c r="K287" s="190"/>
      <c r="L287" s="190"/>
      <c r="M287" s="190"/>
      <c r="N287" s="190"/>
      <c r="O287" s="190"/>
      <c r="P287" s="190"/>
      <c r="Q287" s="190"/>
      <c r="R287" s="190"/>
      <c r="S287" s="190"/>
      <c r="T287" s="190"/>
      <c r="U287" s="190"/>
      <c r="V287" s="190"/>
      <c r="W287" s="190"/>
      <c r="X287" s="190"/>
      <c r="Y287" s="190"/>
      <c r="Z287" s="190"/>
    </row>
    <row r="288">
      <c r="A288" s="208"/>
      <c r="B288" s="190"/>
      <c r="C288" s="190"/>
      <c r="D288" s="190"/>
      <c r="E288" s="190"/>
      <c r="F288" s="209"/>
      <c r="G288" s="190"/>
      <c r="H288" s="190"/>
      <c r="I288" s="190"/>
      <c r="J288" s="190"/>
      <c r="K288" s="190"/>
      <c r="L288" s="190"/>
      <c r="M288" s="190"/>
      <c r="N288" s="190"/>
      <c r="O288" s="190"/>
      <c r="P288" s="190"/>
      <c r="Q288" s="190"/>
      <c r="R288" s="190"/>
      <c r="S288" s="190"/>
      <c r="T288" s="190"/>
      <c r="U288" s="190"/>
      <c r="V288" s="190"/>
      <c r="W288" s="190"/>
      <c r="X288" s="190"/>
      <c r="Y288" s="190"/>
      <c r="Z288" s="190"/>
    </row>
    <row r="289">
      <c r="A289" s="208"/>
      <c r="B289" s="190"/>
      <c r="C289" s="190"/>
      <c r="D289" s="190"/>
      <c r="E289" s="190"/>
      <c r="F289" s="209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190"/>
    </row>
    <row r="290">
      <c r="A290" s="208"/>
      <c r="B290" s="190"/>
      <c r="C290" s="190"/>
      <c r="D290" s="190"/>
      <c r="E290" s="190"/>
      <c r="F290" s="209"/>
      <c r="G290" s="190"/>
      <c r="H290" s="190"/>
      <c r="I290" s="190"/>
      <c r="J290" s="190"/>
      <c r="K290" s="190"/>
      <c r="L290" s="190"/>
      <c r="M290" s="190"/>
      <c r="N290" s="190"/>
      <c r="O290" s="190"/>
      <c r="P290" s="190"/>
      <c r="Q290" s="190"/>
      <c r="R290" s="190"/>
      <c r="S290" s="190"/>
      <c r="T290" s="190"/>
      <c r="U290" s="190"/>
      <c r="V290" s="190"/>
      <c r="W290" s="190"/>
      <c r="X290" s="190"/>
      <c r="Y290" s="190"/>
      <c r="Z290" s="190"/>
    </row>
    <row r="291">
      <c r="A291" s="208"/>
      <c r="B291" s="190"/>
      <c r="C291" s="190"/>
      <c r="D291" s="190"/>
      <c r="E291" s="190"/>
      <c r="F291" s="209"/>
      <c r="G291" s="190"/>
      <c r="H291" s="190"/>
      <c r="I291" s="190"/>
      <c r="J291" s="190"/>
      <c r="K291" s="190"/>
      <c r="L291" s="190"/>
      <c r="M291" s="190"/>
      <c r="N291" s="190"/>
      <c r="O291" s="190"/>
      <c r="P291" s="190"/>
      <c r="Q291" s="190"/>
      <c r="R291" s="190"/>
      <c r="S291" s="190"/>
      <c r="T291" s="190"/>
      <c r="U291" s="190"/>
      <c r="V291" s="190"/>
      <c r="W291" s="190"/>
      <c r="X291" s="190"/>
      <c r="Y291" s="190"/>
      <c r="Z291" s="190"/>
    </row>
    <row r="292">
      <c r="A292" s="208"/>
      <c r="B292" s="190"/>
      <c r="C292" s="190"/>
      <c r="D292" s="190"/>
      <c r="E292" s="190"/>
      <c r="F292" s="209"/>
      <c r="G292" s="190"/>
      <c r="H292" s="190"/>
      <c r="I292" s="190"/>
      <c r="J292" s="190"/>
      <c r="K292" s="190"/>
      <c r="L292" s="190"/>
      <c r="M292" s="190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190"/>
    </row>
    <row r="293">
      <c r="A293" s="208"/>
      <c r="B293" s="190"/>
      <c r="C293" s="190"/>
      <c r="D293" s="190"/>
      <c r="E293" s="190"/>
      <c r="F293" s="209"/>
      <c r="G293" s="190"/>
      <c r="H293" s="190"/>
      <c r="I293" s="190"/>
      <c r="J293" s="190"/>
      <c r="K293" s="190"/>
      <c r="L293" s="190"/>
      <c r="M293" s="190"/>
      <c r="N293" s="190"/>
      <c r="O293" s="190"/>
      <c r="P293" s="190"/>
      <c r="Q293" s="190"/>
      <c r="R293" s="190"/>
      <c r="S293" s="190"/>
      <c r="T293" s="190"/>
      <c r="U293" s="190"/>
      <c r="V293" s="190"/>
      <c r="W293" s="190"/>
      <c r="X293" s="190"/>
      <c r="Y293" s="190"/>
      <c r="Z293" s="190"/>
    </row>
    <row r="294">
      <c r="A294" s="208"/>
      <c r="B294" s="190"/>
      <c r="C294" s="190"/>
      <c r="D294" s="190"/>
      <c r="E294" s="190"/>
      <c r="F294" s="209"/>
      <c r="G294" s="190"/>
      <c r="H294" s="190"/>
      <c r="I294" s="190"/>
      <c r="J294" s="190"/>
      <c r="K294" s="190"/>
      <c r="L294" s="190"/>
      <c r="M294" s="190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190"/>
    </row>
    <row r="295">
      <c r="A295" s="208"/>
      <c r="B295" s="190"/>
      <c r="C295" s="190"/>
      <c r="D295" s="190"/>
      <c r="E295" s="190"/>
      <c r="F295" s="209"/>
      <c r="G295" s="190"/>
      <c r="H295" s="190"/>
      <c r="I295" s="190"/>
      <c r="J295" s="190"/>
      <c r="K295" s="190"/>
      <c r="L295" s="190"/>
      <c r="M295" s="190"/>
      <c r="N295" s="190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90"/>
      <c r="Z295" s="190"/>
    </row>
    <row r="296">
      <c r="A296" s="208"/>
      <c r="B296" s="190"/>
      <c r="C296" s="190"/>
      <c r="D296" s="190"/>
      <c r="E296" s="190"/>
      <c r="F296" s="209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/>
      <c r="Q296" s="190"/>
      <c r="R296" s="190"/>
      <c r="S296" s="190"/>
      <c r="T296" s="190"/>
      <c r="U296" s="190"/>
      <c r="V296" s="190"/>
      <c r="W296" s="190"/>
      <c r="X296" s="190"/>
      <c r="Y296" s="190"/>
      <c r="Z296" s="190"/>
    </row>
    <row r="297">
      <c r="A297" s="208"/>
      <c r="B297" s="190"/>
      <c r="C297" s="190"/>
      <c r="D297" s="190"/>
      <c r="E297" s="190"/>
      <c r="F297" s="209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190"/>
    </row>
    <row r="298">
      <c r="A298" s="208"/>
      <c r="B298" s="190"/>
      <c r="C298" s="190"/>
      <c r="D298" s="190"/>
      <c r="E298" s="190"/>
      <c r="F298" s="209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</row>
    <row r="299">
      <c r="A299" s="208"/>
      <c r="B299" s="190"/>
      <c r="C299" s="190"/>
      <c r="D299" s="190"/>
      <c r="E299" s="190"/>
      <c r="F299" s="209"/>
      <c r="G299" s="190"/>
      <c r="H299" s="190"/>
      <c r="I299" s="190"/>
      <c r="J299" s="190"/>
      <c r="K299" s="190"/>
      <c r="L299" s="190"/>
      <c r="M299" s="190"/>
      <c r="N299" s="190"/>
      <c r="O299" s="190"/>
      <c r="P299" s="190"/>
      <c r="Q299" s="190"/>
      <c r="R299" s="190"/>
      <c r="S299" s="190"/>
      <c r="T299" s="190"/>
      <c r="U299" s="190"/>
      <c r="V299" s="190"/>
      <c r="W299" s="190"/>
      <c r="X299" s="190"/>
      <c r="Y299" s="190"/>
      <c r="Z299" s="190"/>
    </row>
    <row r="300">
      <c r="A300" s="208"/>
      <c r="B300" s="190"/>
      <c r="C300" s="190"/>
      <c r="D300" s="190"/>
      <c r="E300" s="190"/>
      <c r="F300" s="209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</row>
    <row r="301">
      <c r="A301" s="208"/>
      <c r="B301" s="190"/>
      <c r="C301" s="190"/>
      <c r="D301" s="190"/>
      <c r="E301" s="190"/>
      <c r="F301" s="209"/>
      <c r="G301" s="190"/>
      <c r="H301" s="190"/>
      <c r="I301" s="190"/>
      <c r="J301" s="190"/>
      <c r="K301" s="190"/>
      <c r="L301" s="190"/>
      <c r="M301" s="190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</row>
    <row r="302">
      <c r="A302" s="208"/>
      <c r="B302" s="190"/>
      <c r="C302" s="190"/>
      <c r="D302" s="190"/>
      <c r="E302" s="190"/>
      <c r="F302" s="209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</row>
    <row r="303">
      <c r="A303" s="208"/>
      <c r="B303" s="190"/>
      <c r="C303" s="190"/>
      <c r="D303" s="190"/>
      <c r="E303" s="190"/>
      <c r="F303" s="209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</row>
    <row r="304">
      <c r="A304" s="208"/>
      <c r="B304" s="190"/>
      <c r="C304" s="190"/>
      <c r="D304" s="190"/>
      <c r="E304" s="190"/>
      <c r="F304" s="209"/>
      <c r="G304" s="190"/>
      <c r="H304" s="190"/>
      <c r="I304" s="190"/>
      <c r="J304" s="190"/>
      <c r="K304" s="190"/>
      <c r="L304" s="190"/>
      <c r="M304" s="190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</row>
    <row r="305">
      <c r="A305" s="208"/>
      <c r="B305" s="190"/>
      <c r="C305" s="190"/>
      <c r="D305" s="190"/>
      <c r="E305" s="190"/>
      <c r="F305" s="209"/>
      <c r="G305" s="190"/>
      <c r="H305" s="190"/>
      <c r="I305" s="190"/>
      <c r="J305" s="190"/>
      <c r="K305" s="190"/>
      <c r="L305" s="190"/>
      <c r="M305" s="190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</row>
    <row r="306">
      <c r="A306" s="208"/>
      <c r="B306" s="190"/>
      <c r="C306" s="190"/>
      <c r="D306" s="190"/>
      <c r="E306" s="190"/>
      <c r="F306" s="209"/>
      <c r="G306" s="190"/>
      <c r="H306" s="190"/>
      <c r="I306" s="190"/>
      <c r="J306" s="190"/>
      <c r="K306" s="190"/>
      <c r="L306" s="190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</row>
    <row r="307">
      <c r="A307" s="208"/>
      <c r="B307" s="190"/>
      <c r="C307" s="190"/>
      <c r="D307" s="190"/>
      <c r="E307" s="190"/>
      <c r="F307" s="209"/>
      <c r="G307" s="190"/>
      <c r="H307" s="190"/>
      <c r="I307" s="190"/>
      <c r="J307" s="190"/>
      <c r="K307" s="190"/>
      <c r="L307" s="190"/>
      <c r="M307" s="190"/>
      <c r="N307" s="190"/>
      <c r="O307" s="190"/>
      <c r="P307" s="190"/>
      <c r="Q307" s="190"/>
      <c r="R307" s="190"/>
      <c r="S307" s="190"/>
      <c r="T307" s="190"/>
      <c r="U307" s="190"/>
      <c r="V307" s="190"/>
      <c r="W307" s="190"/>
      <c r="X307" s="190"/>
      <c r="Y307" s="190"/>
      <c r="Z307" s="190"/>
    </row>
    <row r="308">
      <c r="A308" s="208"/>
      <c r="B308" s="190"/>
      <c r="C308" s="190"/>
      <c r="D308" s="190"/>
      <c r="E308" s="190"/>
      <c r="F308" s="209"/>
      <c r="G308" s="190"/>
      <c r="H308" s="190"/>
      <c r="I308" s="190"/>
      <c r="J308" s="190"/>
      <c r="K308" s="190"/>
      <c r="L308" s="190"/>
      <c r="M308" s="190"/>
      <c r="N308" s="190"/>
      <c r="O308" s="190"/>
      <c r="P308" s="190"/>
      <c r="Q308" s="190"/>
      <c r="R308" s="190"/>
      <c r="S308" s="190"/>
      <c r="T308" s="190"/>
      <c r="U308" s="190"/>
      <c r="V308" s="190"/>
      <c r="W308" s="190"/>
      <c r="X308" s="190"/>
      <c r="Y308" s="190"/>
      <c r="Z308" s="190"/>
    </row>
    <row r="309">
      <c r="A309" s="208"/>
      <c r="B309" s="190"/>
      <c r="C309" s="190"/>
      <c r="D309" s="190"/>
      <c r="E309" s="190"/>
      <c r="F309" s="209"/>
      <c r="G309" s="190"/>
      <c r="H309" s="190"/>
      <c r="I309" s="190"/>
      <c r="J309" s="190"/>
      <c r="K309" s="190"/>
      <c r="L309" s="190"/>
      <c r="M309" s="190"/>
      <c r="N309" s="190"/>
      <c r="O309" s="190"/>
      <c r="P309" s="190"/>
      <c r="Q309" s="190"/>
      <c r="R309" s="190"/>
      <c r="S309" s="190"/>
      <c r="T309" s="190"/>
      <c r="U309" s="190"/>
      <c r="V309" s="190"/>
      <c r="W309" s="190"/>
      <c r="X309" s="190"/>
      <c r="Y309" s="190"/>
      <c r="Z309" s="190"/>
    </row>
    <row r="310">
      <c r="A310" s="208"/>
      <c r="B310" s="190"/>
      <c r="C310" s="190"/>
      <c r="D310" s="190"/>
      <c r="E310" s="190"/>
      <c r="F310" s="209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</row>
    <row r="311">
      <c r="A311" s="208"/>
      <c r="B311" s="190"/>
      <c r="C311" s="190"/>
      <c r="D311" s="190"/>
      <c r="E311" s="190"/>
      <c r="F311" s="209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</row>
    <row r="312">
      <c r="A312" s="208"/>
      <c r="B312" s="190"/>
      <c r="C312" s="190"/>
      <c r="D312" s="190"/>
      <c r="E312" s="190"/>
      <c r="F312" s="209"/>
      <c r="G312" s="190"/>
      <c r="H312" s="190"/>
      <c r="I312" s="190"/>
      <c r="J312" s="190"/>
      <c r="K312" s="190"/>
      <c r="L312" s="190"/>
      <c r="M312" s="190"/>
      <c r="N312" s="190"/>
      <c r="O312" s="190"/>
      <c r="P312" s="190"/>
      <c r="Q312" s="190"/>
      <c r="R312" s="190"/>
      <c r="S312" s="190"/>
      <c r="T312" s="190"/>
      <c r="U312" s="190"/>
      <c r="V312" s="190"/>
      <c r="W312" s="190"/>
      <c r="X312" s="190"/>
      <c r="Y312" s="190"/>
      <c r="Z312" s="190"/>
    </row>
    <row r="313">
      <c r="A313" s="208"/>
      <c r="B313" s="190"/>
      <c r="C313" s="190"/>
      <c r="D313" s="190"/>
      <c r="E313" s="190"/>
      <c r="F313" s="209"/>
      <c r="G313" s="190"/>
      <c r="H313" s="190"/>
      <c r="I313" s="190"/>
      <c r="J313" s="190"/>
      <c r="K313" s="190"/>
      <c r="L313" s="190"/>
      <c r="M313" s="190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</row>
    <row r="314">
      <c r="A314" s="208"/>
      <c r="B314" s="190"/>
      <c r="C314" s="190"/>
      <c r="D314" s="190"/>
      <c r="E314" s="190"/>
      <c r="F314" s="209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</row>
    <row r="315">
      <c r="A315" s="208"/>
      <c r="B315" s="190"/>
      <c r="C315" s="190"/>
      <c r="D315" s="190"/>
      <c r="E315" s="190"/>
      <c r="F315" s="209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</row>
    <row r="316">
      <c r="A316" s="208"/>
      <c r="B316" s="190"/>
      <c r="C316" s="190"/>
      <c r="D316" s="190"/>
      <c r="E316" s="190"/>
      <c r="F316" s="209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</row>
    <row r="317">
      <c r="A317" s="208"/>
      <c r="B317" s="190"/>
      <c r="C317" s="190"/>
      <c r="D317" s="190"/>
      <c r="E317" s="190"/>
      <c r="F317" s="209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</row>
    <row r="318">
      <c r="A318" s="208"/>
      <c r="B318" s="190"/>
      <c r="C318" s="190"/>
      <c r="D318" s="190"/>
      <c r="E318" s="190"/>
      <c r="F318" s="209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</row>
    <row r="319">
      <c r="A319" s="208"/>
      <c r="B319" s="190"/>
      <c r="C319" s="190"/>
      <c r="D319" s="190"/>
      <c r="E319" s="190"/>
      <c r="F319" s="209"/>
      <c r="G319" s="190"/>
      <c r="H319" s="190"/>
      <c r="I319" s="190"/>
      <c r="J319" s="190"/>
      <c r="K319" s="190"/>
      <c r="L319" s="190"/>
      <c r="M319" s="190"/>
      <c r="N319" s="190"/>
      <c r="O319" s="190"/>
      <c r="P319" s="190"/>
      <c r="Q319" s="190"/>
      <c r="R319" s="190"/>
      <c r="S319" s="190"/>
      <c r="T319" s="190"/>
      <c r="U319" s="190"/>
      <c r="V319" s="190"/>
      <c r="W319" s="190"/>
      <c r="X319" s="190"/>
      <c r="Y319" s="190"/>
      <c r="Z319" s="190"/>
    </row>
    <row r="320">
      <c r="A320" s="208"/>
      <c r="B320" s="190"/>
      <c r="C320" s="190"/>
      <c r="D320" s="190"/>
      <c r="E320" s="190"/>
      <c r="F320" s="209"/>
      <c r="G320" s="190"/>
      <c r="H320" s="190"/>
      <c r="I320" s="190"/>
      <c r="J320" s="190"/>
      <c r="K320" s="190"/>
      <c r="L320" s="190"/>
      <c r="M320" s="190"/>
      <c r="N320" s="190"/>
      <c r="O320" s="190"/>
      <c r="P320" s="190"/>
      <c r="Q320" s="190"/>
      <c r="R320" s="190"/>
      <c r="S320" s="190"/>
      <c r="T320" s="190"/>
      <c r="U320" s="190"/>
      <c r="V320" s="190"/>
      <c r="W320" s="190"/>
      <c r="X320" s="190"/>
      <c r="Y320" s="190"/>
      <c r="Z320" s="190"/>
    </row>
    <row r="321">
      <c r="A321" s="208"/>
      <c r="B321" s="190"/>
      <c r="C321" s="190"/>
      <c r="D321" s="190"/>
      <c r="E321" s="190"/>
      <c r="F321" s="209"/>
      <c r="G321" s="190"/>
      <c r="H321" s="190"/>
      <c r="I321" s="190"/>
      <c r="J321" s="190"/>
      <c r="K321" s="190"/>
      <c r="L321" s="190"/>
      <c r="M321" s="190"/>
      <c r="N321" s="190"/>
      <c r="O321" s="190"/>
      <c r="P321" s="190"/>
      <c r="Q321" s="190"/>
      <c r="R321" s="190"/>
      <c r="S321" s="190"/>
      <c r="T321" s="190"/>
      <c r="U321" s="190"/>
      <c r="V321" s="190"/>
      <c r="W321" s="190"/>
      <c r="X321" s="190"/>
      <c r="Y321" s="190"/>
      <c r="Z321" s="190"/>
    </row>
    <row r="322">
      <c r="A322" s="208"/>
      <c r="B322" s="190"/>
      <c r="C322" s="190"/>
      <c r="D322" s="190"/>
      <c r="E322" s="190"/>
      <c r="F322" s="209"/>
      <c r="G322" s="190"/>
      <c r="H322" s="190"/>
      <c r="I322" s="190"/>
      <c r="J322" s="190"/>
      <c r="K322" s="190"/>
      <c r="L322" s="190"/>
      <c r="M322" s="190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</row>
    <row r="323">
      <c r="A323" s="208"/>
      <c r="B323" s="190"/>
      <c r="C323" s="190"/>
      <c r="D323" s="190"/>
      <c r="E323" s="190"/>
      <c r="F323" s="209"/>
      <c r="G323" s="190"/>
      <c r="H323" s="190"/>
      <c r="I323" s="190"/>
      <c r="J323" s="190"/>
      <c r="K323" s="190"/>
      <c r="L323" s="190"/>
      <c r="M323" s="190"/>
      <c r="N323" s="190"/>
      <c r="O323" s="190"/>
      <c r="P323" s="190"/>
      <c r="Q323" s="190"/>
      <c r="R323" s="190"/>
      <c r="S323" s="190"/>
      <c r="T323" s="190"/>
      <c r="U323" s="190"/>
      <c r="V323" s="190"/>
      <c r="W323" s="190"/>
      <c r="X323" s="190"/>
      <c r="Y323" s="190"/>
      <c r="Z323" s="190"/>
    </row>
    <row r="324">
      <c r="A324" s="208"/>
      <c r="B324" s="190"/>
      <c r="C324" s="190"/>
      <c r="D324" s="190"/>
      <c r="E324" s="190"/>
      <c r="F324" s="209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/>
      <c r="Q324" s="190"/>
      <c r="R324" s="190"/>
      <c r="S324" s="190"/>
      <c r="T324" s="190"/>
      <c r="U324" s="190"/>
      <c r="V324" s="190"/>
      <c r="W324" s="190"/>
      <c r="X324" s="190"/>
      <c r="Y324" s="190"/>
      <c r="Z324" s="190"/>
    </row>
    <row r="325">
      <c r="A325" s="208"/>
      <c r="B325" s="190"/>
      <c r="C325" s="190"/>
      <c r="D325" s="190"/>
      <c r="E325" s="190"/>
      <c r="F325" s="209"/>
      <c r="G325" s="190"/>
      <c r="H325" s="190"/>
      <c r="I325" s="190"/>
      <c r="J325" s="190"/>
      <c r="K325" s="190"/>
      <c r="L325" s="190"/>
      <c r="M325" s="190"/>
      <c r="N325" s="190"/>
      <c r="O325" s="190"/>
      <c r="P325" s="190"/>
      <c r="Q325" s="190"/>
      <c r="R325" s="190"/>
      <c r="S325" s="190"/>
      <c r="T325" s="190"/>
      <c r="U325" s="190"/>
      <c r="V325" s="190"/>
      <c r="W325" s="190"/>
      <c r="X325" s="190"/>
      <c r="Y325" s="190"/>
      <c r="Z325" s="190"/>
    </row>
    <row r="326">
      <c r="A326" s="208"/>
      <c r="B326" s="190"/>
      <c r="C326" s="190"/>
      <c r="D326" s="190"/>
      <c r="E326" s="190"/>
      <c r="F326" s="209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</row>
    <row r="327">
      <c r="A327" s="208"/>
      <c r="B327" s="190"/>
      <c r="C327" s="190"/>
      <c r="D327" s="190"/>
      <c r="E327" s="190"/>
      <c r="F327" s="209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</row>
    <row r="328">
      <c r="A328" s="208"/>
      <c r="B328" s="190"/>
      <c r="C328" s="190"/>
      <c r="D328" s="190"/>
      <c r="E328" s="190"/>
      <c r="F328" s="209"/>
      <c r="G328" s="190"/>
      <c r="H328" s="190"/>
      <c r="I328" s="190"/>
      <c r="J328" s="190"/>
      <c r="K328" s="190"/>
      <c r="L328" s="190"/>
      <c r="M328" s="190"/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</row>
    <row r="329">
      <c r="A329" s="208"/>
      <c r="B329" s="190"/>
      <c r="C329" s="190"/>
      <c r="D329" s="190"/>
      <c r="E329" s="190"/>
      <c r="F329" s="209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</row>
    <row r="330">
      <c r="A330" s="208"/>
      <c r="B330" s="190"/>
      <c r="C330" s="190"/>
      <c r="D330" s="190"/>
      <c r="E330" s="190"/>
      <c r="F330" s="209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</row>
    <row r="331">
      <c r="A331" s="208"/>
      <c r="B331" s="190"/>
      <c r="C331" s="190"/>
      <c r="D331" s="190"/>
      <c r="E331" s="190"/>
      <c r="F331" s="209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</row>
    <row r="332">
      <c r="A332" s="208"/>
      <c r="B332" s="190"/>
      <c r="C332" s="190"/>
      <c r="D332" s="190"/>
      <c r="E332" s="190"/>
      <c r="F332" s="209"/>
      <c r="G332" s="190"/>
      <c r="H332" s="190"/>
      <c r="I332" s="190"/>
      <c r="J332" s="190"/>
      <c r="K332" s="190"/>
      <c r="L332" s="190"/>
      <c r="M332" s="190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</row>
    <row r="333">
      <c r="A333" s="208"/>
      <c r="B333" s="190"/>
      <c r="C333" s="190"/>
      <c r="D333" s="190"/>
      <c r="E333" s="190"/>
      <c r="F333" s="209"/>
      <c r="G333" s="190"/>
      <c r="H333" s="190"/>
      <c r="I333" s="190"/>
      <c r="J333" s="190"/>
      <c r="K333" s="190"/>
      <c r="L333" s="190"/>
      <c r="M333" s="190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</row>
    <row r="334">
      <c r="A334" s="208"/>
      <c r="B334" s="190"/>
      <c r="C334" s="190"/>
      <c r="D334" s="190"/>
      <c r="E334" s="190"/>
      <c r="F334" s="209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</row>
    <row r="335">
      <c r="A335" s="208"/>
      <c r="B335" s="190"/>
      <c r="C335" s="190"/>
      <c r="D335" s="190"/>
      <c r="E335" s="190"/>
      <c r="F335" s="209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</row>
    <row r="336">
      <c r="A336" s="208"/>
      <c r="B336" s="190"/>
      <c r="C336" s="190"/>
      <c r="D336" s="190"/>
      <c r="E336" s="190"/>
      <c r="F336" s="209"/>
      <c r="G336" s="190"/>
      <c r="H336" s="190"/>
      <c r="I336" s="190"/>
      <c r="J336" s="190"/>
      <c r="K336" s="190"/>
      <c r="L336" s="190"/>
      <c r="M336" s="190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</row>
    <row r="337">
      <c r="A337" s="208"/>
      <c r="B337" s="190"/>
      <c r="C337" s="190"/>
      <c r="D337" s="190"/>
      <c r="E337" s="190"/>
      <c r="F337" s="209"/>
      <c r="G337" s="190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</row>
    <row r="338">
      <c r="A338" s="208"/>
      <c r="B338" s="190"/>
      <c r="C338" s="190"/>
      <c r="D338" s="190"/>
      <c r="E338" s="190"/>
      <c r="F338" s="209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</row>
    <row r="339">
      <c r="A339" s="208"/>
      <c r="B339" s="190"/>
      <c r="C339" s="190"/>
      <c r="D339" s="190"/>
      <c r="E339" s="190"/>
      <c r="F339" s="209"/>
      <c r="G339" s="190"/>
      <c r="H339" s="190"/>
      <c r="I339" s="190"/>
      <c r="J339" s="190"/>
      <c r="K339" s="190"/>
      <c r="L339" s="190"/>
      <c r="M339" s="190"/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</row>
    <row r="340">
      <c r="A340" s="208"/>
      <c r="B340" s="190"/>
      <c r="C340" s="190"/>
      <c r="D340" s="190"/>
      <c r="E340" s="190"/>
      <c r="F340" s="209"/>
      <c r="G340" s="190"/>
      <c r="H340" s="190"/>
      <c r="I340" s="190"/>
      <c r="J340" s="190"/>
      <c r="K340" s="190"/>
      <c r="L340" s="190"/>
      <c r="M340" s="190"/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190"/>
    </row>
    <row r="341">
      <c r="A341" s="208"/>
      <c r="B341" s="190"/>
      <c r="C341" s="190"/>
      <c r="D341" s="190"/>
      <c r="E341" s="190"/>
      <c r="F341" s="209"/>
      <c r="G341" s="190"/>
      <c r="H341" s="190"/>
      <c r="I341" s="190"/>
      <c r="J341" s="190"/>
      <c r="K341" s="190"/>
      <c r="L341" s="190"/>
      <c r="M341" s="190"/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190"/>
    </row>
    <row r="342">
      <c r="A342" s="208"/>
      <c r="B342" s="190"/>
      <c r="C342" s="190"/>
      <c r="D342" s="190"/>
      <c r="E342" s="190"/>
      <c r="F342" s="209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</row>
    <row r="343">
      <c r="A343" s="208"/>
      <c r="B343" s="190"/>
      <c r="C343" s="190"/>
      <c r="D343" s="190"/>
      <c r="E343" s="190"/>
      <c r="F343" s="209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</row>
    <row r="344">
      <c r="A344" s="208"/>
      <c r="B344" s="190"/>
      <c r="C344" s="190"/>
      <c r="D344" s="190"/>
      <c r="E344" s="190"/>
      <c r="F344" s="209"/>
      <c r="G344" s="190"/>
      <c r="H344" s="190"/>
      <c r="I344" s="190"/>
      <c r="J344" s="190"/>
      <c r="K344" s="190"/>
      <c r="L344" s="190"/>
      <c r="M344" s="190"/>
      <c r="N344" s="190"/>
      <c r="O344" s="190"/>
      <c r="P344" s="190"/>
      <c r="Q344" s="190"/>
      <c r="R344" s="190"/>
      <c r="S344" s="190"/>
      <c r="T344" s="190"/>
      <c r="U344" s="190"/>
      <c r="V344" s="190"/>
      <c r="W344" s="190"/>
      <c r="X344" s="190"/>
      <c r="Y344" s="190"/>
      <c r="Z344" s="190"/>
    </row>
    <row r="345">
      <c r="A345" s="208"/>
      <c r="B345" s="190"/>
      <c r="C345" s="190"/>
      <c r="D345" s="190"/>
      <c r="E345" s="190"/>
      <c r="F345" s="209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</row>
    <row r="346">
      <c r="A346" s="208"/>
      <c r="B346" s="190"/>
      <c r="C346" s="190"/>
      <c r="D346" s="190"/>
      <c r="E346" s="190"/>
      <c r="F346" s="209"/>
      <c r="G346" s="190"/>
      <c r="H346" s="190"/>
      <c r="I346" s="190"/>
      <c r="J346" s="190"/>
      <c r="K346" s="190"/>
      <c r="L346" s="190"/>
      <c r="M346" s="190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</row>
    <row r="347">
      <c r="A347" s="208"/>
      <c r="B347" s="190"/>
      <c r="C347" s="190"/>
      <c r="D347" s="190"/>
      <c r="E347" s="190"/>
      <c r="F347" s="209"/>
      <c r="G347" s="190"/>
      <c r="H347" s="190"/>
      <c r="I347" s="190"/>
      <c r="J347" s="190"/>
      <c r="K347" s="190"/>
      <c r="L347" s="190"/>
      <c r="M347" s="190"/>
      <c r="N347" s="190"/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</row>
    <row r="348">
      <c r="A348" s="208"/>
      <c r="B348" s="190"/>
      <c r="C348" s="190"/>
      <c r="D348" s="190"/>
      <c r="E348" s="190"/>
      <c r="F348" s="209"/>
      <c r="G348" s="190"/>
      <c r="H348" s="190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</row>
    <row r="349">
      <c r="A349" s="208"/>
      <c r="B349" s="190"/>
      <c r="C349" s="190"/>
      <c r="D349" s="190"/>
      <c r="E349" s="190"/>
      <c r="F349" s="209"/>
      <c r="G349" s="190"/>
      <c r="H349" s="190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</row>
    <row r="350">
      <c r="A350" s="208"/>
      <c r="B350" s="190"/>
      <c r="C350" s="190"/>
      <c r="D350" s="190"/>
      <c r="E350" s="190"/>
      <c r="F350" s="209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</row>
    <row r="351">
      <c r="A351" s="208"/>
      <c r="B351" s="190"/>
      <c r="C351" s="190"/>
      <c r="D351" s="190"/>
      <c r="E351" s="190"/>
      <c r="F351" s="209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</row>
    <row r="352">
      <c r="A352" s="208"/>
      <c r="B352" s="190"/>
      <c r="C352" s="190"/>
      <c r="D352" s="190"/>
      <c r="E352" s="190"/>
      <c r="F352" s="209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</row>
    <row r="353">
      <c r="A353" s="208"/>
      <c r="B353" s="190"/>
      <c r="C353" s="190"/>
      <c r="D353" s="190"/>
      <c r="E353" s="190"/>
      <c r="F353" s="209"/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</row>
    <row r="354">
      <c r="A354" s="208"/>
      <c r="B354" s="190"/>
      <c r="C354" s="190"/>
      <c r="D354" s="190"/>
      <c r="E354" s="190"/>
      <c r="F354" s="209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</row>
    <row r="355">
      <c r="A355" s="208"/>
      <c r="B355" s="190"/>
      <c r="C355" s="190"/>
      <c r="D355" s="190"/>
      <c r="E355" s="190"/>
      <c r="F355" s="209"/>
      <c r="G355" s="190"/>
      <c r="H355" s="190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</row>
    <row r="356">
      <c r="A356" s="208"/>
      <c r="B356" s="190"/>
      <c r="C356" s="190"/>
      <c r="D356" s="190"/>
      <c r="E356" s="190"/>
      <c r="F356" s="209"/>
      <c r="G356" s="190"/>
      <c r="H356" s="190"/>
      <c r="I356" s="190"/>
      <c r="J356" s="190"/>
      <c r="K356" s="190"/>
      <c r="L356" s="190"/>
      <c r="M356" s="190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</row>
    <row r="357">
      <c r="A357" s="208"/>
      <c r="B357" s="190"/>
      <c r="C357" s="190"/>
      <c r="D357" s="190"/>
      <c r="E357" s="190"/>
      <c r="F357" s="209"/>
      <c r="G357" s="190"/>
      <c r="H357" s="190"/>
      <c r="I357" s="190"/>
      <c r="J357" s="190"/>
      <c r="K357" s="190"/>
      <c r="L357" s="190"/>
      <c r="M357" s="190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</row>
    <row r="358">
      <c r="A358" s="208"/>
      <c r="B358" s="190"/>
      <c r="C358" s="190"/>
      <c r="D358" s="190"/>
      <c r="E358" s="190"/>
      <c r="F358" s="209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</row>
    <row r="359">
      <c r="A359" s="208"/>
      <c r="B359" s="190"/>
      <c r="C359" s="190"/>
      <c r="D359" s="190"/>
      <c r="E359" s="190"/>
      <c r="F359" s="209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</row>
    <row r="360">
      <c r="A360" s="208"/>
      <c r="B360" s="190"/>
      <c r="C360" s="190"/>
      <c r="D360" s="190"/>
      <c r="E360" s="190"/>
      <c r="F360" s="209"/>
      <c r="G360" s="190"/>
      <c r="H360" s="190"/>
      <c r="I360" s="190"/>
      <c r="J360" s="190"/>
      <c r="K360" s="190"/>
      <c r="L360" s="190"/>
      <c r="M360" s="190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</row>
    <row r="361">
      <c r="A361" s="208"/>
      <c r="B361" s="190"/>
      <c r="C361" s="190"/>
      <c r="D361" s="190"/>
      <c r="E361" s="190"/>
      <c r="F361" s="209"/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</row>
    <row r="362">
      <c r="A362" s="208"/>
      <c r="B362" s="190"/>
      <c r="C362" s="190"/>
      <c r="D362" s="190"/>
      <c r="E362" s="190"/>
      <c r="F362" s="209"/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</row>
    <row r="363">
      <c r="A363" s="208"/>
      <c r="B363" s="190"/>
      <c r="C363" s="190"/>
      <c r="D363" s="190"/>
      <c r="E363" s="190"/>
      <c r="F363" s="209"/>
      <c r="G363" s="190"/>
      <c r="H363" s="190"/>
      <c r="I363" s="190"/>
      <c r="J363" s="190"/>
      <c r="K363" s="190"/>
      <c r="L363" s="190"/>
      <c r="M363" s="190"/>
      <c r="N363" s="190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</row>
    <row r="364">
      <c r="A364" s="208"/>
      <c r="B364" s="190"/>
      <c r="C364" s="190"/>
      <c r="D364" s="190"/>
      <c r="E364" s="190"/>
      <c r="F364" s="209"/>
      <c r="G364" s="190"/>
      <c r="H364" s="190"/>
      <c r="I364" s="190"/>
      <c r="J364" s="190"/>
      <c r="K364" s="190"/>
      <c r="L364" s="190"/>
      <c r="M364" s="190"/>
      <c r="N364" s="190"/>
      <c r="O364" s="190"/>
      <c r="P364" s="190"/>
      <c r="Q364" s="190"/>
      <c r="R364" s="190"/>
      <c r="S364" s="190"/>
      <c r="T364" s="190"/>
      <c r="U364" s="190"/>
      <c r="V364" s="190"/>
      <c r="W364" s="190"/>
      <c r="X364" s="190"/>
      <c r="Y364" s="190"/>
      <c r="Z364" s="190"/>
    </row>
    <row r="365">
      <c r="A365" s="208"/>
      <c r="B365" s="190"/>
      <c r="C365" s="190"/>
      <c r="D365" s="190"/>
      <c r="E365" s="190"/>
      <c r="F365" s="209"/>
      <c r="G365" s="190"/>
      <c r="H365" s="190"/>
      <c r="I365" s="190"/>
      <c r="J365" s="190"/>
      <c r="K365" s="190"/>
      <c r="L365" s="190"/>
      <c r="M365" s="190"/>
      <c r="N365" s="190"/>
      <c r="O365" s="190"/>
      <c r="P365" s="190"/>
      <c r="Q365" s="190"/>
      <c r="R365" s="190"/>
      <c r="S365" s="190"/>
      <c r="T365" s="190"/>
      <c r="U365" s="190"/>
      <c r="V365" s="190"/>
      <c r="W365" s="190"/>
      <c r="X365" s="190"/>
      <c r="Y365" s="190"/>
      <c r="Z365" s="190"/>
    </row>
    <row r="366">
      <c r="A366" s="208"/>
      <c r="B366" s="190"/>
      <c r="C366" s="190"/>
      <c r="D366" s="190"/>
      <c r="E366" s="190"/>
      <c r="F366" s="209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</row>
    <row r="367">
      <c r="A367" s="208"/>
      <c r="B367" s="190"/>
      <c r="C367" s="190"/>
      <c r="D367" s="190"/>
      <c r="E367" s="190"/>
      <c r="F367" s="209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</row>
    <row r="368">
      <c r="A368" s="208"/>
      <c r="B368" s="190"/>
      <c r="C368" s="190"/>
      <c r="D368" s="190"/>
      <c r="E368" s="190"/>
      <c r="F368" s="209"/>
      <c r="G368" s="190"/>
      <c r="H368" s="190"/>
      <c r="I368" s="190"/>
      <c r="J368" s="190"/>
      <c r="K368" s="190"/>
      <c r="L368" s="190"/>
      <c r="M368" s="190"/>
      <c r="N368" s="190"/>
      <c r="O368" s="190"/>
      <c r="P368" s="190"/>
      <c r="Q368" s="190"/>
      <c r="R368" s="190"/>
      <c r="S368" s="190"/>
      <c r="T368" s="190"/>
      <c r="U368" s="190"/>
      <c r="V368" s="190"/>
      <c r="W368" s="190"/>
      <c r="X368" s="190"/>
      <c r="Y368" s="190"/>
      <c r="Z368" s="190"/>
    </row>
    <row r="369">
      <c r="A369" s="208"/>
      <c r="B369" s="190"/>
      <c r="C369" s="190"/>
      <c r="D369" s="190"/>
      <c r="E369" s="190"/>
      <c r="F369" s="209"/>
      <c r="G369" s="190"/>
      <c r="H369" s="190"/>
      <c r="I369" s="190"/>
      <c r="J369" s="190"/>
      <c r="K369" s="190"/>
      <c r="L369" s="190"/>
      <c r="M369" s="190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</row>
    <row r="370">
      <c r="A370" s="208"/>
      <c r="B370" s="190"/>
      <c r="C370" s="190"/>
      <c r="D370" s="190"/>
      <c r="E370" s="190"/>
      <c r="F370" s="209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</row>
    <row r="371">
      <c r="A371" s="208"/>
      <c r="B371" s="190"/>
      <c r="C371" s="190"/>
      <c r="D371" s="190"/>
      <c r="E371" s="190"/>
      <c r="F371" s="209"/>
      <c r="G371" s="190"/>
      <c r="H371" s="190"/>
      <c r="I371" s="190"/>
      <c r="J371" s="190"/>
      <c r="K371" s="190"/>
      <c r="L371" s="190"/>
      <c r="M371" s="190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</row>
    <row r="372">
      <c r="A372" s="208"/>
      <c r="B372" s="190"/>
      <c r="C372" s="190"/>
      <c r="D372" s="190"/>
      <c r="E372" s="190"/>
      <c r="F372" s="209"/>
      <c r="G372" s="190"/>
      <c r="H372" s="190"/>
      <c r="I372" s="190"/>
      <c r="J372" s="190"/>
      <c r="K372" s="190"/>
      <c r="L372" s="190"/>
      <c r="M372" s="190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190"/>
    </row>
    <row r="373">
      <c r="A373" s="208"/>
      <c r="B373" s="190"/>
      <c r="C373" s="190"/>
      <c r="D373" s="190"/>
      <c r="E373" s="190"/>
      <c r="F373" s="209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</row>
    <row r="374">
      <c r="A374" s="208"/>
      <c r="B374" s="190"/>
      <c r="C374" s="190"/>
      <c r="D374" s="190"/>
      <c r="E374" s="190"/>
      <c r="F374" s="209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</row>
    <row r="375">
      <c r="A375" s="208"/>
      <c r="B375" s="190"/>
      <c r="C375" s="190"/>
      <c r="D375" s="190"/>
      <c r="E375" s="190"/>
      <c r="F375" s="209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</row>
    <row r="376">
      <c r="A376" s="208"/>
      <c r="B376" s="190"/>
      <c r="C376" s="190"/>
      <c r="D376" s="190"/>
      <c r="E376" s="190"/>
      <c r="F376" s="209"/>
      <c r="G376" s="190"/>
      <c r="H376" s="190"/>
      <c r="I376" s="190"/>
      <c r="J376" s="190"/>
      <c r="K376" s="190"/>
      <c r="L376" s="190"/>
      <c r="M376" s="190"/>
      <c r="N376" s="190"/>
      <c r="O376" s="190"/>
      <c r="P376" s="190"/>
      <c r="Q376" s="190"/>
      <c r="R376" s="190"/>
      <c r="S376" s="190"/>
      <c r="T376" s="190"/>
      <c r="U376" s="190"/>
      <c r="V376" s="190"/>
      <c r="W376" s="190"/>
      <c r="X376" s="190"/>
      <c r="Y376" s="190"/>
      <c r="Z376" s="190"/>
    </row>
    <row r="377">
      <c r="A377" s="208"/>
      <c r="B377" s="190"/>
      <c r="C377" s="190"/>
      <c r="D377" s="190"/>
      <c r="E377" s="190"/>
      <c r="F377" s="209"/>
      <c r="G377" s="190"/>
      <c r="H377" s="190"/>
      <c r="I377" s="190"/>
      <c r="J377" s="190"/>
      <c r="K377" s="190"/>
      <c r="L377" s="190"/>
      <c r="M377" s="190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</row>
    <row r="378">
      <c r="A378" s="208"/>
      <c r="B378" s="190"/>
      <c r="C378" s="190"/>
      <c r="D378" s="190"/>
      <c r="E378" s="190"/>
      <c r="F378" s="209"/>
      <c r="G378" s="190"/>
      <c r="H378" s="190"/>
      <c r="I378" s="190"/>
      <c r="J378" s="190"/>
      <c r="K378" s="190"/>
      <c r="L378" s="190"/>
      <c r="M378" s="190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</row>
    <row r="379">
      <c r="A379" s="208"/>
      <c r="B379" s="190"/>
      <c r="C379" s="190"/>
      <c r="D379" s="190"/>
      <c r="E379" s="190"/>
      <c r="F379" s="209"/>
      <c r="G379" s="190"/>
      <c r="H379" s="190"/>
      <c r="I379" s="190"/>
      <c r="J379" s="190"/>
      <c r="K379" s="190"/>
      <c r="L379" s="190"/>
      <c r="M379" s="190"/>
      <c r="N379" s="190"/>
      <c r="O379" s="190"/>
      <c r="P379" s="190"/>
      <c r="Q379" s="190"/>
      <c r="R379" s="190"/>
      <c r="S379" s="190"/>
      <c r="T379" s="190"/>
      <c r="U379" s="190"/>
      <c r="V379" s="190"/>
      <c r="W379" s="190"/>
      <c r="X379" s="190"/>
      <c r="Y379" s="190"/>
      <c r="Z379" s="190"/>
    </row>
    <row r="380">
      <c r="A380" s="208"/>
      <c r="B380" s="190"/>
      <c r="C380" s="190"/>
      <c r="D380" s="190"/>
      <c r="E380" s="190"/>
      <c r="F380" s="209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/>
      <c r="Q380" s="190"/>
      <c r="R380" s="190"/>
      <c r="S380" s="190"/>
      <c r="T380" s="190"/>
      <c r="U380" s="190"/>
      <c r="V380" s="190"/>
      <c r="W380" s="190"/>
      <c r="X380" s="190"/>
      <c r="Y380" s="190"/>
      <c r="Z380" s="190"/>
    </row>
    <row r="381">
      <c r="A381" s="208"/>
      <c r="B381" s="190"/>
      <c r="C381" s="190"/>
      <c r="D381" s="190"/>
      <c r="E381" s="190"/>
      <c r="F381" s="209"/>
      <c r="G381" s="190"/>
      <c r="H381" s="190"/>
      <c r="I381" s="190"/>
      <c r="J381" s="190"/>
      <c r="K381" s="190"/>
      <c r="L381" s="190"/>
      <c r="M381" s="190"/>
      <c r="N381" s="190"/>
      <c r="O381" s="190"/>
      <c r="P381" s="190"/>
      <c r="Q381" s="190"/>
      <c r="R381" s="190"/>
      <c r="S381" s="190"/>
      <c r="T381" s="190"/>
      <c r="U381" s="190"/>
      <c r="V381" s="190"/>
      <c r="W381" s="190"/>
      <c r="X381" s="190"/>
      <c r="Y381" s="190"/>
      <c r="Z381" s="190"/>
    </row>
    <row r="382">
      <c r="A382" s="208"/>
      <c r="B382" s="190"/>
      <c r="C382" s="190"/>
      <c r="D382" s="190"/>
      <c r="E382" s="190"/>
      <c r="F382" s="209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</row>
    <row r="383">
      <c r="A383" s="208"/>
      <c r="B383" s="190"/>
      <c r="C383" s="190"/>
      <c r="D383" s="190"/>
      <c r="E383" s="190"/>
      <c r="F383" s="209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</row>
    <row r="384">
      <c r="A384" s="208"/>
      <c r="B384" s="190"/>
      <c r="C384" s="190"/>
      <c r="D384" s="190"/>
      <c r="E384" s="190"/>
      <c r="F384" s="209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</row>
    <row r="385">
      <c r="A385" s="208"/>
      <c r="B385" s="190"/>
      <c r="C385" s="190"/>
      <c r="D385" s="190"/>
      <c r="E385" s="190"/>
      <c r="F385" s="209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</row>
    <row r="386">
      <c r="A386" s="208"/>
      <c r="B386" s="190"/>
      <c r="C386" s="190"/>
      <c r="D386" s="190"/>
      <c r="E386" s="190"/>
      <c r="F386" s="209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</row>
    <row r="387">
      <c r="A387" s="208"/>
      <c r="B387" s="190"/>
      <c r="C387" s="190"/>
      <c r="D387" s="190"/>
      <c r="E387" s="190"/>
      <c r="F387" s="209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</row>
    <row r="388">
      <c r="A388" s="208"/>
      <c r="B388" s="190"/>
      <c r="C388" s="190"/>
      <c r="D388" s="190"/>
      <c r="E388" s="190"/>
      <c r="F388" s="209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</row>
    <row r="389">
      <c r="A389" s="208"/>
      <c r="B389" s="190"/>
      <c r="C389" s="190"/>
      <c r="D389" s="190"/>
      <c r="E389" s="190"/>
      <c r="F389" s="209"/>
      <c r="G389" s="190"/>
      <c r="H389" s="190"/>
      <c r="I389" s="190"/>
      <c r="J389" s="190"/>
      <c r="K389" s="190"/>
      <c r="L389" s="190"/>
      <c r="M389" s="190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</row>
    <row r="390">
      <c r="A390" s="208"/>
      <c r="B390" s="190"/>
      <c r="C390" s="190"/>
      <c r="D390" s="190"/>
      <c r="E390" s="190"/>
      <c r="F390" s="209"/>
      <c r="G390" s="190"/>
      <c r="H390" s="190"/>
      <c r="I390" s="190"/>
      <c r="J390" s="190"/>
      <c r="K390" s="190"/>
      <c r="L390" s="190"/>
      <c r="M390" s="190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</row>
    <row r="391">
      <c r="A391" s="208"/>
      <c r="B391" s="190"/>
      <c r="C391" s="190"/>
      <c r="D391" s="190"/>
      <c r="E391" s="190"/>
      <c r="F391" s="209"/>
      <c r="G391" s="190"/>
      <c r="H391" s="190"/>
      <c r="I391" s="190"/>
      <c r="J391" s="190"/>
      <c r="K391" s="190"/>
      <c r="L391" s="190"/>
      <c r="M391" s="190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</row>
    <row r="392">
      <c r="A392" s="208"/>
      <c r="B392" s="190"/>
      <c r="C392" s="190"/>
      <c r="D392" s="190"/>
      <c r="E392" s="190"/>
      <c r="F392" s="209"/>
      <c r="G392" s="190"/>
      <c r="H392" s="190"/>
      <c r="I392" s="190"/>
      <c r="J392" s="190"/>
      <c r="K392" s="190"/>
      <c r="L392" s="190"/>
      <c r="M392" s="190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</row>
    <row r="393">
      <c r="A393" s="208"/>
      <c r="B393" s="190"/>
      <c r="C393" s="190"/>
      <c r="D393" s="190"/>
      <c r="E393" s="190"/>
      <c r="F393" s="209"/>
      <c r="G393" s="190"/>
      <c r="H393" s="190"/>
      <c r="I393" s="190"/>
      <c r="J393" s="190"/>
      <c r="K393" s="190"/>
      <c r="L393" s="190"/>
      <c r="M393" s="190"/>
      <c r="N393" s="190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190"/>
      <c r="Z393" s="190"/>
    </row>
    <row r="394">
      <c r="A394" s="208"/>
      <c r="B394" s="190"/>
      <c r="C394" s="190"/>
      <c r="D394" s="190"/>
      <c r="E394" s="190"/>
      <c r="F394" s="209"/>
      <c r="G394" s="190"/>
      <c r="H394" s="190"/>
      <c r="I394" s="190"/>
      <c r="J394" s="190"/>
      <c r="K394" s="190"/>
      <c r="L394" s="190"/>
      <c r="M394" s="190"/>
      <c r="N394" s="190"/>
      <c r="O394" s="190"/>
      <c r="P394" s="190"/>
      <c r="Q394" s="190"/>
      <c r="R394" s="190"/>
      <c r="S394" s="190"/>
      <c r="T394" s="190"/>
      <c r="U394" s="190"/>
      <c r="V394" s="190"/>
      <c r="W394" s="190"/>
      <c r="X394" s="190"/>
      <c r="Y394" s="190"/>
      <c r="Z394" s="190"/>
    </row>
    <row r="395">
      <c r="A395" s="208"/>
      <c r="B395" s="190"/>
      <c r="C395" s="190"/>
      <c r="D395" s="190"/>
      <c r="E395" s="190"/>
      <c r="F395" s="209"/>
      <c r="G395" s="190"/>
      <c r="H395" s="190"/>
      <c r="I395" s="190"/>
      <c r="J395" s="190"/>
      <c r="K395" s="190"/>
      <c r="L395" s="190"/>
      <c r="M395" s="190"/>
      <c r="N395" s="190"/>
      <c r="O395" s="190"/>
      <c r="P395" s="190"/>
      <c r="Q395" s="190"/>
      <c r="R395" s="190"/>
      <c r="S395" s="190"/>
      <c r="T395" s="190"/>
      <c r="U395" s="190"/>
      <c r="V395" s="190"/>
      <c r="W395" s="190"/>
      <c r="X395" s="190"/>
      <c r="Y395" s="190"/>
      <c r="Z395" s="190"/>
    </row>
    <row r="396">
      <c r="A396" s="208"/>
      <c r="B396" s="190"/>
      <c r="C396" s="190"/>
      <c r="D396" s="190"/>
      <c r="E396" s="190"/>
      <c r="F396" s="209"/>
      <c r="G396" s="190"/>
      <c r="H396" s="190"/>
      <c r="I396" s="190"/>
      <c r="J396" s="190"/>
      <c r="K396" s="190"/>
      <c r="L396" s="190"/>
      <c r="M396" s="190"/>
      <c r="N396" s="190"/>
      <c r="O396" s="190"/>
      <c r="P396" s="190"/>
      <c r="Q396" s="190"/>
      <c r="R396" s="190"/>
      <c r="S396" s="190"/>
      <c r="T396" s="190"/>
      <c r="U396" s="190"/>
      <c r="V396" s="190"/>
      <c r="W396" s="190"/>
      <c r="X396" s="190"/>
      <c r="Y396" s="190"/>
      <c r="Z396" s="190"/>
    </row>
    <row r="397">
      <c r="A397" s="208"/>
      <c r="B397" s="190"/>
      <c r="C397" s="190"/>
      <c r="D397" s="190"/>
      <c r="E397" s="190"/>
      <c r="F397" s="209"/>
      <c r="G397" s="190"/>
      <c r="H397" s="190"/>
      <c r="I397" s="190"/>
      <c r="J397" s="190"/>
      <c r="K397" s="190"/>
      <c r="L397" s="190"/>
      <c r="M397" s="190"/>
      <c r="N397" s="190"/>
      <c r="O397" s="190"/>
      <c r="P397" s="190"/>
      <c r="Q397" s="190"/>
      <c r="R397" s="190"/>
      <c r="S397" s="190"/>
      <c r="T397" s="190"/>
      <c r="U397" s="190"/>
      <c r="V397" s="190"/>
      <c r="W397" s="190"/>
      <c r="X397" s="190"/>
      <c r="Y397" s="190"/>
      <c r="Z397" s="190"/>
    </row>
    <row r="398">
      <c r="A398" s="208"/>
      <c r="B398" s="190"/>
      <c r="C398" s="190"/>
      <c r="D398" s="190"/>
      <c r="E398" s="190"/>
      <c r="F398" s="209"/>
      <c r="G398" s="190"/>
      <c r="H398" s="190"/>
      <c r="I398" s="190"/>
      <c r="J398" s="190"/>
      <c r="K398" s="190"/>
      <c r="L398" s="190"/>
      <c r="M398" s="190"/>
      <c r="N398" s="190"/>
      <c r="O398" s="190"/>
      <c r="P398" s="190"/>
      <c r="Q398" s="190"/>
      <c r="R398" s="190"/>
      <c r="S398" s="190"/>
      <c r="T398" s="190"/>
      <c r="U398" s="190"/>
      <c r="V398" s="190"/>
      <c r="W398" s="190"/>
      <c r="X398" s="190"/>
      <c r="Y398" s="190"/>
      <c r="Z398" s="190"/>
    </row>
    <row r="399">
      <c r="A399" s="208"/>
      <c r="B399" s="190"/>
      <c r="C399" s="190"/>
      <c r="D399" s="190"/>
      <c r="E399" s="190"/>
      <c r="F399" s="209"/>
      <c r="G399" s="190"/>
      <c r="H399" s="190"/>
      <c r="I399" s="190"/>
      <c r="J399" s="190"/>
      <c r="K399" s="190"/>
      <c r="L399" s="190"/>
      <c r="M399" s="190"/>
      <c r="N399" s="190"/>
      <c r="O399" s="190"/>
      <c r="P399" s="190"/>
      <c r="Q399" s="190"/>
      <c r="R399" s="190"/>
      <c r="S399" s="190"/>
      <c r="T399" s="190"/>
      <c r="U399" s="190"/>
      <c r="V399" s="190"/>
      <c r="W399" s="190"/>
      <c r="X399" s="190"/>
      <c r="Y399" s="190"/>
      <c r="Z399" s="190"/>
    </row>
    <row r="400">
      <c r="A400" s="208"/>
      <c r="B400" s="190"/>
      <c r="C400" s="190"/>
      <c r="D400" s="190"/>
      <c r="E400" s="190"/>
      <c r="F400" s="209"/>
      <c r="G400" s="190"/>
      <c r="H400" s="190"/>
      <c r="I400" s="190"/>
      <c r="J400" s="190"/>
      <c r="K400" s="190"/>
      <c r="L400" s="190"/>
      <c r="M400" s="190"/>
      <c r="N400" s="190"/>
      <c r="O400" s="190"/>
      <c r="P400" s="190"/>
      <c r="Q400" s="190"/>
      <c r="R400" s="190"/>
      <c r="S400" s="190"/>
      <c r="T400" s="190"/>
      <c r="U400" s="190"/>
      <c r="V400" s="190"/>
      <c r="W400" s="190"/>
      <c r="X400" s="190"/>
      <c r="Y400" s="190"/>
      <c r="Z400" s="190"/>
    </row>
    <row r="401">
      <c r="A401" s="208"/>
      <c r="B401" s="190"/>
      <c r="C401" s="190"/>
      <c r="D401" s="190"/>
      <c r="E401" s="190"/>
      <c r="F401" s="209"/>
      <c r="G401" s="190"/>
      <c r="H401" s="190"/>
      <c r="I401" s="190"/>
      <c r="J401" s="190"/>
      <c r="K401" s="190"/>
      <c r="L401" s="190"/>
      <c r="M401" s="190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</row>
    <row r="402">
      <c r="A402" s="208"/>
      <c r="B402" s="190"/>
      <c r="C402" s="190"/>
      <c r="D402" s="190"/>
      <c r="E402" s="190"/>
      <c r="F402" s="209"/>
      <c r="G402" s="190"/>
      <c r="H402" s="190"/>
      <c r="I402" s="190"/>
      <c r="J402" s="190"/>
      <c r="K402" s="190"/>
      <c r="L402" s="190"/>
      <c r="M402" s="190"/>
      <c r="N402" s="190"/>
      <c r="O402" s="190"/>
      <c r="P402" s="190"/>
      <c r="Q402" s="190"/>
      <c r="R402" s="190"/>
      <c r="S402" s="190"/>
      <c r="T402" s="190"/>
      <c r="U402" s="190"/>
      <c r="V402" s="190"/>
      <c r="W402" s="190"/>
      <c r="X402" s="190"/>
      <c r="Y402" s="190"/>
      <c r="Z402" s="190"/>
    </row>
    <row r="403">
      <c r="A403" s="208"/>
      <c r="B403" s="190"/>
      <c r="C403" s="190"/>
      <c r="D403" s="190"/>
      <c r="E403" s="190"/>
      <c r="F403" s="209"/>
      <c r="G403" s="190"/>
      <c r="H403" s="190"/>
      <c r="I403" s="190"/>
      <c r="J403" s="190"/>
      <c r="K403" s="190"/>
      <c r="L403" s="190"/>
      <c r="M403" s="190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</row>
    <row r="404">
      <c r="A404" s="208"/>
      <c r="B404" s="190"/>
      <c r="C404" s="190"/>
      <c r="D404" s="190"/>
      <c r="E404" s="190"/>
      <c r="F404" s="209"/>
      <c r="G404" s="190"/>
      <c r="H404" s="190"/>
      <c r="I404" s="190"/>
      <c r="J404" s="190"/>
      <c r="K404" s="190"/>
      <c r="L404" s="190"/>
      <c r="M404" s="190"/>
      <c r="N404" s="190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</row>
    <row r="405">
      <c r="A405" s="208"/>
      <c r="B405" s="190"/>
      <c r="C405" s="190"/>
      <c r="D405" s="190"/>
      <c r="E405" s="190"/>
      <c r="F405" s="209"/>
      <c r="G405" s="190"/>
      <c r="H405" s="190"/>
      <c r="I405" s="190"/>
      <c r="J405" s="190"/>
      <c r="K405" s="190"/>
      <c r="L405" s="190"/>
      <c r="M405" s="190"/>
      <c r="N405" s="190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</row>
    <row r="406">
      <c r="A406" s="208"/>
      <c r="B406" s="190"/>
      <c r="C406" s="190"/>
      <c r="D406" s="190"/>
      <c r="E406" s="190"/>
      <c r="F406" s="209"/>
      <c r="G406" s="190"/>
      <c r="H406" s="190"/>
      <c r="I406" s="190"/>
      <c r="J406" s="190"/>
      <c r="K406" s="190"/>
      <c r="L406" s="190"/>
      <c r="M406" s="190"/>
      <c r="N406" s="190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</row>
    <row r="407">
      <c r="A407" s="208"/>
      <c r="B407" s="190"/>
      <c r="C407" s="190"/>
      <c r="D407" s="190"/>
      <c r="E407" s="190"/>
      <c r="F407" s="209"/>
      <c r="G407" s="190"/>
      <c r="H407" s="190"/>
      <c r="I407" s="190"/>
      <c r="J407" s="190"/>
      <c r="K407" s="190"/>
      <c r="L407" s="190"/>
      <c r="M407" s="190"/>
      <c r="N407" s="190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</row>
    <row r="408">
      <c r="A408" s="208"/>
      <c r="B408" s="190"/>
      <c r="C408" s="190"/>
      <c r="D408" s="190"/>
      <c r="E408" s="190"/>
      <c r="F408" s="209"/>
      <c r="G408" s="190"/>
      <c r="H408" s="190"/>
      <c r="I408" s="190"/>
      <c r="J408" s="190"/>
      <c r="K408" s="190"/>
      <c r="L408" s="190"/>
      <c r="M408" s="190"/>
      <c r="N408" s="190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</row>
    <row r="409">
      <c r="A409" s="208"/>
      <c r="B409" s="190"/>
      <c r="C409" s="190"/>
      <c r="D409" s="190"/>
      <c r="E409" s="190"/>
      <c r="F409" s="209"/>
      <c r="G409" s="190"/>
      <c r="H409" s="190"/>
      <c r="I409" s="190"/>
      <c r="J409" s="190"/>
      <c r="K409" s="190"/>
      <c r="L409" s="190"/>
      <c r="M409" s="190"/>
      <c r="N409" s="190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</row>
    <row r="410">
      <c r="A410" s="208"/>
      <c r="B410" s="190"/>
      <c r="C410" s="190"/>
      <c r="D410" s="190"/>
      <c r="E410" s="190"/>
      <c r="F410" s="209"/>
      <c r="G410" s="190"/>
      <c r="H410" s="190"/>
      <c r="I410" s="190"/>
      <c r="J410" s="190"/>
      <c r="K410" s="190"/>
      <c r="L410" s="190"/>
      <c r="M410" s="190"/>
      <c r="N410" s="190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</row>
    <row r="411">
      <c r="A411" s="208"/>
      <c r="B411" s="190"/>
      <c r="C411" s="190"/>
      <c r="D411" s="190"/>
      <c r="E411" s="190"/>
      <c r="F411" s="209"/>
      <c r="G411" s="190"/>
      <c r="H411" s="190"/>
      <c r="I411" s="190"/>
      <c r="J411" s="190"/>
      <c r="K411" s="190"/>
      <c r="L411" s="190"/>
      <c r="M411" s="190"/>
      <c r="N411" s="190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</row>
    <row r="412">
      <c r="A412" s="208"/>
      <c r="B412" s="190"/>
      <c r="C412" s="190"/>
      <c r="D412" s="190"/>
      <c r="E412" s="190"/>
      <c r="F412" s="209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</row>
    <row r="413">
      <c r="A413" s="208"/>
      <c r="B413" s="190"/>
      <c r="C413" s="190"/>
      <c r="D413" s="190"/>
      <c r="E413" s="190"/>
      <c r="F413" s="209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</row>
    <row r="414">
      <c r="A414" s="208"/>
      <c r="B414" s="190"/>
      <c r="C414" s="190"/>
      <c r="D414" s="190"/>
      <c r="E414" s="190"/>
      <c r="F414" s="209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</row>
    <row r="415">
      <c r="A415" s="208"/>
      <c r="B415" s="190"/>
      <c r="C415" s="190"/>
      <c r="D415" s="190"/>
      <c r="E415" s="190"/>
      <c r="F415" s="209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</row>
    <row r="416">
      <c r="A416" s="208"/>
      <c r="B416" s="190"/>
      <c r="C416" s="190"/>
      <c r="D416" s="190"/>
      <c r="E416" s="190"/>
      <c r="F416" s="209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</row>
    <row r="417">
      <c r="A417" s="208"/>
      <c r="B417" s="190"/>
      <c r="C417" s="190"/>
      <c r="D417" s="190"/>
      <c r="E417" s="190"/>
      <c r="F417" s="209"/>
      <c r="G417" s="190"/>
      <c r="H417" s="190"/>
      <c r="I417" s="190"/>
      <c r="J417" s="190"/>
      <c r="K417" s="190"/>
      <c r="L417" s="190"/>
      <c r="M417" s="190"/>
      <c r="N417" s="190"/>
      <c r="O417" s="190"/>
      <c r="P417" s="190"/>
      <c r="Q417" s="190"/>
      <c r="R417" s="190"/>
      <c r="S417" s="190"/>
      <c r="T417" s="190"/>
      <c r="U417" s="190"/>
      <c r="V417" s="190"/>
      <c r="W417" s="190"/>
      <c r="X417" s="190"/>
      <c r="Y417" s="190"/>
      <c r="Z417" s="190"/>
    </row>
    <row r="418">
      <c r="A418" s="208"/>
      <c r="B418" s="190"/>
      <c r="C418" s="190"/>
      <c r="D418" s="190"/>
      <c r="E418" s="190"/>
      <c r="F418" s="209"/>
      <c r="G418" s="190"/>
      <c r="H418" s="190"/>
      <c r="I418" s="190"/>
      <c r="J418" s="190"/>
      <c r="K418" s="190"/>
      <c r="L418" s="190"/>
      <c r="M418" s="190"/>
      <c r="N418" s="190"/>
      <c r="O418" s="190"/>
      <c r="P418" s="190"/>
      <c r="Q418" s="190"/>
      <c r="R418" s="190"/>
      <c r="S418" s="190"/>
      <c r="T418" s="190"/>
      <c r="U418" s="190"/>
      <c r="V418" s="190"/>
      <c r="W418" s="190"/>
      <c r="X418" s="190"/>
      <c r="Y418" s="190"/>
      <c r="Z418" s="190"/>
    </row>
    <row r="419">
      <c r="A419" s="208"/>
      <c r="B419" s="190"/>
      <c r="C419" s="190"/>
      <c r="D419" s="190"/>
      <c r="E419" s="190"/>
      <c r="F419" s="209"/>
      <c r="G419" s="190"/>
      <c r="H419" s="190"/>
      <c r="I419" s="190"/>
      <c r="J419" s="190"/>
      <c r="K419" s="190"/>
      <c r="L419" s="190"/>
      <c r="M419" s="190"/>
      <c r="N419" s="190"/>
      <c r="O419" s="190"/>
      <c r="P419" s="190"/>
      <c r="Q419" s="190"/>
      <c r="R419" s="190"/>
      <c r="S419" s="190"/>
      <c r="T419" s="190"/>
      <c r="U419" s="190"/>
      <c r="V419" s="190"/>
      <c r="W419" s="190"/>
      <c r="X419" s="190"/>
      <c r="Y419" s="190"/>
      <c r="Z419" s="190"/>
    </row>
    <row r="420">
      <c r="A420" s="208"/>
      <c r="B420" s="190"/>
      <c r="C420" s="190"/>
      <c r="D420" s="190"/>
      <c r="E420" s="190"/>
      <c r="F420" s="209"/>
      <c r="G420" s="190"/>
      <c r="H420" s="190"/>
      <c r="I420" s="190"/>
      <c r="J420" s="190"/>
      <c r="K420" s="190"/>
      <c r="L420" s="190"/>
      <c r="M420" s="190"/>
      <c r="N420" s="190"/>
      <c r="O420" s="190"/>
      <c r="P420" s="190"/>
      <c r="Q420" s="190"/>
      <c r="R420" s="190"/>
      <c r="S420" s="190"/>
      <c r="T420" s="190"/>
      <c r="U420" s="190"/>
      <c r="V420" s="190"/>
      <c r="W420" s="190"/>
      <c r="X420" s="190"/>
      <c r="Y420" s="190"/>
      <c r="Z420" s="190"/>
    </row>
    <row r="421">
      <c r="A421" s="208"/>
      <c r="B421" s="190"/>
      <c r="C421" s="190"/>
      <c r="D421" s="190"/>
      <c r="E421" s="190"/>
      <c r="F421" s="209"/>
      <c r="G421" s="190"/>
      <c r="H421" s="190"/>
      <c r="I421" s="190"/>
      <c r="J421" s="190"/>
      <c r="K421" s="190"/>
      <c r="L421" s="190"/>
      <c r="M421" s="190"/>
      <c r="N421" s="190"/>
      <c r="O421" s="190"/>
      <c r="P421" s="190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</row>
    <row r="422">
      <c r="A422" s="208"/>
      <c r="B422" s="190"/>
      <c r="C422" s="190"/>
      <c r="D422" s="190"/>
      <c r="E422" s="190"/>
      <c r="F422" s="209"/>
      <c r="G422" s="190"/>
      <c r="H422" s="190"/>
      <c r="I422" s="190"/>
      <c r="J422" s="190"/>
      <c r="K422" s="190"/>
      <c r="L422" s="190"/>
      <c r="M422" s="190"/>
      <c r="N422" s="190"/>
      <c r="O422" s="190"/>
      <c r="P422" s="190"/>
      <c r="Q422" s="190"/>
      <c r="R422" s="190"/>
      <c r="S422" s="190"/>
      <c r="T422" s="190"/>
      <c r="U422" s="190"/>
      <c r="V422" s="190"/>
      <c r="W422" s="190"/>
      <c r="X422" s="190"/>
      <c r="Y422" s="190"/>
      <c r="Z422" s="190"/>
    </row>
    <row r="423">
      <c r="A423" s="208"/>
      <c r="B423" s="190"/>
      <c r="C423" s="190"/>
      <c r="D423" s="190"/>
      <c r="E423" s="190"/>
      <c r="F423" s="209"/>
      <c r="G423" s="190"/>
      <c r="H423" s="190"/>
      <c r="I423" s="190"/>
      <c r="J423" s="190"/>
      <c r="K423" s="190"/>
      <c r="L423" s="190"/>
      <c r="M423" s="190"/>
      <c r="N423" s="190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0"/>
      <c r="Z423" s="190"/>
    </row>
    <row r="424">
      <c r="A424" s="208"/>
      <c r="B424" s="190"/>
      <c r="C424" s="190"/>
      <c r="D424" s="190"/>
      <c r="E424" s="190"/>
      <c r="F424" s="209"/>
      <c r="G424" s="190"/>
      <c r="H424" s="190"/>
      <c r="I424" s="190"/>
      <c r="J424" s="190"/>
      <c r="K424" s="190"/>
      <c r="L424" s="190"/>
      <c r="M424" s="190"/>
      <c r="N424" s="190"/>
      <c r="O424" s="190"/>
      <c r="P424" s="190"/>
      <c r="Q424" s="190"/>
      <c r="R424" s="190"/>
      <c r="S424" s="190"/>
      <c r="T424" s="190"/>
      <c r="U424" s="190"/>
      <c r="V424" s="190"/>
      <c r="W424" s="190"/>
      <c r="X424" s="190"/>
      <c r="Y424" s="190"/>
      <c r="Z424" s="190"/>
    </row>
    <row r="425">
      <c r="A425" s="208"/>
      <c r="B425" s="190"/>
      <c r="C425" s="190"/>
      <c r="D425" s="190"/>
      <c r="E425" s="190"/>
      <c r="F425" s="209"/>
      <c r="G425" s="190"/>
      <c r="H425" s="190"/>
      <c r="I425" s="190"/>
      <c r="J425" s="190"/>
      <c r="K425" s="190"/>
      <c r="L425" s="190"/>
      <c r="M425" s="190"/>
      <c r="N425" s="190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</row>
    <row r="426">
      <c r="A426" s="208"/>
      <c r="B426" s="190"/>
      <c r="C426" s="190"/>
      <c r="D426" s="190"/>
      <c r="E426" s="190"/>
      <c r="F426" s="209"/>
      <c r="G426" s="190"/>
      <c r="H426" s="190"/>
      <c r="I426" s="190"/>
      <c r="J426" s="190"/>
      <c r="K426" s="190"/>
      <c r="L426" s="190"/>
      <c r="M426" s="190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</row>
    <row r="427">
      <c r="A427" s="208"/>
      <c r="B427" s="190"/>
      <c r="C427" s="190"/>
      <c r="D427" s="190"/>
      <c r="E427" s="190"/>
      <c r="F427" s="209"/>
      <c r="G427" s="190"/>
      <c r="H427" s="190"/>
      <c r="I427" s="190"/>
      <c r="J427" s="190"/>
      <c r="K427" s="190"/>
      <c r="L427" s="190"/>
      <c r="M427" s="190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</row>
    <row r="428">
      <c r="A428" s="208"/>
      <c r="B428" s="190"/>
      <c r="C428" s="190"/>
      <c r="D428" s="190"/>
      <c r="E428" s="190"/>
      <c r="F428" s="209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</row>
    <row r="429">
      <c r="A429" s="208"/>
      <c r="B429" s="190"/>
      <c r="C429" s="190"/>
      <c r="D429" s="190"/>
      <c r="E429" s="190"/>
      <c r="F429" s="209"/>
      <c r="G429" s="190"/>
      <c r="H429" s="190"/>
      <c r="I429" s="190"/>
      <c r="J429" s="190"/>
      <c r="K429" s="190"/>
      <c r="L429" s="190"/>
      <c r="M429" s="190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</row>
    <row r="430">
      <c r="A430" s="208"/>
      <c r="B430" s="190"/>
      <c r="C430" s="190"/>
      <c r="D430" s="190"/>
      <c r="E430" s="190"/>
      <c r="F430" s="209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</row>
    <row r="431">
      <c r="A431" s="208"/>
      <c r="B431" s="190"/>
      <c r="C431" s="190"/>
      <c r="D431" s="190"/>
      <c r="E431" s="190"/>
      <c r="F431" s="209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</row>
    <row r="432">
      <c r="A432" s="208"/>
      <c r="B432" s="190"/>
      <c r="C432" s="190"/>
      <c r="D432" s="190"/>
      <c r="E432" s="190"/>
      <c r="F432" s="209"/>
      <c r="G432" s="190"/>
      <c r="H432" s="190"/>
      <c r="I432" s="190"/>
      <c r="J432" s="190"/>
      <c r="K432" s="190"/>
      <c r="L432" s="190"/>
      <c r="M432" s="190"/>
      <c r="N432" s="190"/>
      <c r="O432" s="190"/>
      <c r="P432" s="190"/>
      <c r="Q432" s="190"/>
      <c r="R432" s="190"/>
      <c r="S432" s="190"/>
      <c r="T432" s="190"/>
      <c r="U432" s="190"/>
      <c r="V432" s="190"/>
      <c r="W432" s="190"/>
      <c r="X432" s="190"/>
      <c r="Y432" s="190"/>
      <c r="Z432" s="190"/>
    </row>
    <row r="433">
      <c r="A433" s="208"/>
      <c r="B433" s="190"/>
      <c r="C433" s="190"/>
      <c r="D433" s="190"/>
      <c r="E433" s="190"/>
      <c r="F433" s="209"/>
      <c r="G433" s="190"/>
      <c r="H433" s="190"/>
      <c r="I433" s="190"/>
      <c r="J433" s="190"/>
      <c r="K433" s="190"/>
      <c r="L433" s="190"/>
      <c r="M433" s="190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</row>
    <row r="434">
      <c r="A434" s="208"/>
      <c r="B434" s="190"/>
      <c r="C434" s="190"/>
      <c r="D434" s="190"/>
      <c r="E434" s="190"/>
      <c r="F434" s="209"/>
      <c r="G434" s="190"/>
      <c r="H434" s="190"/>
      <c r="I434" s="190"/>
      <c r="J434" s="190"/>
      <c r="K434" s="190"/>
      <c r="L434" s="190"/>
      <c r="M434" s="190"/>
      <c r="N434" s="190"/>
      <c r="O434" s="190"/>
      <c r="P434" s="190"/>
      <c r="Q434" s="190"/>
      <c r="R434" s="190"/>
      <c r="S434" s="190"/>
      <c r="T434" s="190"/>
      <c r="U434" s="190"/>
      <c r="V434" s="190"/>
      <c r="W434" s="190"/>
      <c r="X434" s="190"/>
      <c r="Y434" s="190"/>
      <c r="Z434" s="190"/>
    </row>
    <row r="435">
      <c r="A435" s="208"/>
      <c r="B435" s="190"/>
      <c r="C435" s="190"/>
      <c r="D435" s="190"/>
      <c r="E435" s="190"/>
      <c r="F435" s="209"/>
      <c r="G435" s="190"/>
      <c r="H435" s="190"/>
      <c r="I435" s="190"/>
      <c r="J435" s="190"/>
      <c r="K435" s="190"/>
      <c r="L435" s="190"/>
      <c r="M435" s="190"/>
      <c r="N435" s="190"/>
      <c r="O435" s="190"/>
      <c r="P435" s="190"/>
      <c r="Q435" s="190"/>
      <c r="R435" s="190"/>
      <c r="S435" s="190"/>
      <c r="T435" s="190"/>
      <c r="U435" s="190"/>
      <c r="V435" s="190"/>
      <c r="W435" s="190"/>
      <c r="X435" s="190"/>
      <c r="Y435" s="190"/>
      <c r="Z435" s="190"/>
    </row>
    <row r="436">
      <c r="A436" s="208"/>
      <c r="B436" s="190"/>
      <c r="C436" s="190"/>
      <c r="D436" s="190"/>
      <c r="E436" s="190"/>
      <c r="F436" s="209"/>
      <c r="G436" s="190"/>
      <c r="H436" s="190"/>
      <c r="I436" s="190"/>
      <c r="J436" s="190"/>
      <c r="K436" s="190"/>
      <c r="L436" s="190"/>
      <c r="M436" s="190"/>
      <c r="N436" s="190"/>
      <c r="O436" s="190"/>
      <c r="P436" s="190"/>
      <c r="Q436" s="190"/>
      <c r="R436" s="190"/>
      <c r="S436" s="190"/>
      <c r="T436" s="190"/>
      <c r="U436" s="190"/>
      <c r="V436" s="190"/>
      <c r="W436" s="190"/>
      <c r="X436" s="190"/>
      <c r="Y436" s="190"/>
      <c r="Z436" s="190"/>
    </row>
    <row r="437">
      <c r="A437" s="208"/>
      <c r="B437" s="190"/>
      <c r="C437" s="190"/>
      <c r="D437" s="190"/>
      <c r="E437" s="190"/>
      <c r="F437" s="209"/>
      <c r="G437" s="190"/>
      <c r="H437" s="190"/>
      <c r="I437" s="190"/>
      <c r="J437" s="190"/>
      <c r="K437" s="190"/>
      <c r="L437" s="190"/>
      <c r="M437" s="190"/>
      <c r="N437" s="190"/>
      <c r="O437" s="190"/>
      <c r="P437" s="190"/>
      <c r="Q437" s="190"/>
      <c r="R437" s="190"/>
      <c r="S437" s="190"/>
      <c r="T437" s="190"/>
      <c r="U437" s="190"/>
      <c r="V437" s="190"/>
      <c r="W437" s="190"/>
      <c r="X437" s="190"/>
      <c r="Y437" s="190"/>
      <c r="Z437" s="190"/>
    </row>
    <row r="438">
      <c r="A438" s="208"/>
      <c r="B438" s="190"/>
      <c r="C438" s="190"/>
      <c r="D438" s="190"/>
      <c r="E438" s="190"/>
      <c r="F438" s="209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</row>
    <row r="439">
      <c r="A439" s="208"/>
      <c r="B439" s="190"/>
      <c r="C439" s="190"/>
      <c r="D439" s="190"/>
      <c r="E439" s="190"/>
      <c r="F439" s="209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</row>
    <row r="440">
      <c r="A440" s="208"/>
      <c r="B440" s="190"/>
      <c r="C440" s="190"/>
      <c r="D440" s="190"/>
      <c r="E440" s="190"/>
      <c r="F440" s="209"/>
      <c r="G440" s="190"/>
      <c r="H440" s="190"/>
      <c r="I440" s="190"/>
      <c r="J440" s="190"/>
      <c r="K440" s="190"/>
      <c r="L440" s="190"/>
      <c r="M440" s="190"/>
      <c r="N440" s="190"/>
      <c r="O440" s="190"/>
      <c r="P440" s="190"/>
      <c r="Q440" s="190"/>
      <c r="R440" s="190"/>
      <c r="S440" s="190"/>
      <c r="T440" s="190"/>
      <c r="U440" s="190"/>
      <c r="V440" s="190"/>
      <c r="W440" s="190"/>
      <c r="X440" s="190"/>
      <c r="Y440" s="190"/>
      <c r="Z440" s="190"/>
    </row>
    <row r="441">
      <c r="A441" s="208"/>
      <c r="B441" s="190"/>
      <c r="C441" s="190"/>
      <c r="D441" s="190"/>
      <c r="E441" s="190"/>
      <c r="F441" s="209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</row>
    <row r="442">
      <c r="A442" s="208"/>
      <c r="B442" s="190"/>
      <c r="C442" s="190"/>
      <c r="D442" s="190"/>
      <c r="E442" s="190"/>
      <c r="F442" s="209"/>
      <c r="G442" s="190"/>
      <c r="H442" s="190"/>
      <c r="I442" s="190"/>
      <c r="J442" s="190"/>
      <c r="K442" s="190"/>
      <c r="L442" s="190"/>
      <c r="M442" s="190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</row>
    <row r="443">
      <c r="A443" s="208"/>
      <c r="B443" s="190"/>
      <c r="C443" s="190"/>
      <c r="D443" s="190"/>
      <c r="E443" s="190"/>
      <c r="F443" s="209"/>
      <c r="G443" s="190"/>
      <c r="H443" s="190"/>
      <c r="I443" s="190"/>
      <c r="J443" s="190"/>
      <c r="K443" s="190"/>
      <c r="L443" s="190"/>
      <c r="M443" s="190"/>
      <c r="N443" s="190"/>
      <c r="O443" s="190"/>
      <c r="P443" s="190"/>
      <c r="Q443" s="190"/>
      <c r="R443" s="190"/>
      <c r="S443" s="190"/>
      <c r="T443" s="190"/>
      <c r="U443" s="190"/>
      <c r="V443" s="190"/>
      <c r="W443" s="190"/>
      <c r="X443" s="190"/>
      <c r="Y443" s="190"/>
      <c r="Z443" s="190"/>
    </row>
    <row r="444">
      <c r="A444" s="208"/>
      <c r="B444" s="190"/>
      <c r="C444" s="190"/>
      <c r="D444" s="190"/>
      <c r="E444" s="190"/>
      <c r="F444" s="209"/>
      <c r="G444" s="190"/>
      <c r="H444" s="190"/>
      <c r="I444" s="190"/>
      <c r="J444" s="190"/>
      <c r="K444" s="190"/>
      <c r="L444" s="190"/>
      <c r="M444" s="190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</row>
    <row r="445">
      <c r="A445" s="208"/>
      <c r="B445" s="190"/>
      <c r="C445" s="190"/>
      <c r="D445" s="190"/>
      <c r="E445" s="190"/>
      <c r="F445" s="209"/>
      <c r="G445" s="190"/>
      <c r="H445" s="190"/>
      <c r="I445" s="190"/>
      <c r="J445" s="190"/>
      <c r="K445" s="190"/>
      <c r="L445" s="190"/>
      <c r="M445" s="190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</row>
    <row r="446">
      <c r="A446" s="208"/>
      <c r="B446" s="190"/>
      <c r="C446" s="190"/>
      <c r="D446" s="190"/>
      <c r="E446" s="190"/>
      <c r="F446" s="209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</row>
    <row r="447">
      <c r="A447" s="208"/>
      <c r="B447" s="190"/>
      <c r="C447" s="190"/>
      <c r="D447" s="190"/>
      <c r="E447" s="190"/>
      <c r="F447" s="209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</row>
    <row r="448">
      <c r="A448" s="208"/>
      <c r="B448" s="190"/>
      <c r="C448" s="190"/>
      <c r="D448" s="190"/>
      <c r="E448" s="190"/>
      <c r="F448" s="209"/>
      <c r="G448" s="190"/>
      <c r="H448" s="190"/>
      <c r="I448" s="190"/>
      <c r="J448" s="190"/>
      <c r="K448" s="190"/>
      <c r="L448" s="190"/>
      <c r="M448" s="190"/>
      <c r="N448" s="190"/>
      <c r="O448" s="190"/>
      <c r="P448" s="190"/>
      <c r="Q448" s="190"/>
      <c r="R448" s="190"/>
      <c r="S448" s="190"/>
      <c r="T448" s="190"/>
      <c r="U448" s="190"/>
      <c r="V448" s="190"/>
      <c r="W448" s="190"/>
      <c r="X448" s="190"/>
      <c r="Y448" s="190"/>
      <c r="Z448" s="190"/>
    </row>
    <row r="449">
      <c r="A449" s="208"/>
      <c r="B449" s="190"/>
      <c r="C449" s="190"/>
      <c r="D449" s="190"/>
      <c r="E449" s="190"/>
      <c r="F449" s="209"/>
      <c r="G449" s="190"/>
      <c r="H449" s="190"/>
      <c r="I449" s="190"/>
      <c r="J449" s="190"/>
      <c r="K449" s="190"/>
      <c r="L449" s="190"/>
      <c r="M449" s="190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</row>
    <row r="450">
      <c r="A450" s="208"/>
      <c r="B450" s="190"/>
      <c r="C450" s="190"/>
      <c r="D450" s="190"/>
      <c r="E450" s="190"/>
      <c r="F450" s="209"/>
      <c r="G450" s="190"/>
      <c r="H450" s="190"/>
      <c r="I450" s="190"/>
      <c r="J450" s="190"/>
      <c r="K450" s="190"/>
      <c r="L450" s="190"/>
      <c r="M450" s="190"/>
      <c r="N450" s="190"/>
      <c r="O450" s="190"/>
      <c r="P450" s="190"/>
      <c r="Q450" s="190"/>
      <c r="R450" s="190"/>
      <c r="S450" s="190"/>
      <c r="T450" s="190"/>
      <c r="U450" s="190"/>
      <c r="V450" s="190"/>
      <c r="W450" s="190"/>
      <c r="X450" s="190"/>
      <c r="Y450" s="190"/>
      <c r="Z450" s="190"/>
    </row>
    <row r="451">
      <c r="A451" s="208"/>
      <c r="B451" s="190"/>
      <c r="C451" s="190"/>
      <c r="D451" s="190"/>
      <c r="E451" s="190"/>
      <c r="F451" s="209"/>
      <c r="G451" s="190"/>
      <c r="H451" s="190"/>
      <c r="I451" s="190"/>
      <c r="J451" s="190"/>
      <c r="K451" s="190"/>
      <c r="L451" s="190"/>
      <c r="M451" s="190"/>
      <c r="N451" s="190"/>
      <c r="O451" s="190"/>
      <c r="P451" s="190"/>
      <c r="Q451" s="190"/>
      <c r="R451" s="190"/>
      <c r="S451" s="190"/>
      <c r="T451" s="190"/>
      <c r="U451" s="190"/>
      <c r="V451" s="190"/>
      <c r="W451" s="190"/>
      <c r="X451" s="190"/>
      <c r="Y451" s="190"/>
      <c r="Z451" s="190"/>
    </row>
    <row r="452">
      <c r="A452" s="208"/>
      <c r="B452" s="190"/>
      <c r="C452" s="190"/>
      <c r="D452" s="190"/>
      <c r="E452" s="190"/>
      <c r="F452" s="209"/>
      <c r="G452" s="190"/>
      <c r="H452" s="190"/>
      <c r="I452" s="190"/>
      <c r="J452" s="190"/>
      <c r="K452" s="190"/>
      <c r="L452" s="190"/>
      <c r="M452" s="190"/>
      <c r="N452" s="190"/>
      <c r="O452" s="190"/>
      <c r="P452" s="190"/>
      <c r="Q452" s="190"/>
      <c r="R452" s="190"/>
      <c r="S452" s="190"/>
      <c r="T452" s="190"/>
      <c r="U452" s="190"/>
      <c r="V452" s="190"/>
      <c r="W452" s="190"/>
      <c r="X452" s="190"/>
      <c r="Y452" s="190"/>
      <c r="Z452" s="190"/>
    </row>
    <row r="453">
      <c r="A453" s="208"/>
      <c r="B453" s="190"/>
      <c r="C453" s="190"/>
      <c r="D453" s="190"/>
      <c r="E453" s="190"/>
      <c r="F453" s="209"/>
      <c r="G453" s="190"/>
      <c r="H453" s="190"/>
      <c r="I453" s="190"/>
      <c r="J453" s="190"/>
      <c r="K453" s="190"/>
      <c r="L453" s="190"/>
      <c r="M453" s="190"/>
      <c r="N453" s="190"/>
      <c r="O453" s="190"/>
      <c r="P453" s="190"/>
      <c r="Q453" s="190"/>
      <c r="R453" s="190"/>
      <c r="S453" s="190"/>
      <c r="T453" s="190"/>
      <c r="U453" s="190"/>
      <c r="V453" s="190"/>
      <c r="W453" s="190"/>
      <c r="X453" s="190"/>
      <c r="Y453" s="190"/>
      <c r="Z453" s="190"/>
    </row>
    <row r="454">
      <c r="A454" s="208"/>
      <c r="B454" s="190"/>
      <c r="C454" s="190"/>
      <c r="D454" s="190"/>
      <c r="E454" s="190"/>
      <c r="F454" s="209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</row>
    <row r="455">
      <c r="A455" s="208"/>
      <c r="B455" s="190"/>
      <c r="C455" s="190"/>
      <c r="D455" s="190"/>
      <c r="E455" s="190"/>
      <c r="F455" s="209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</row>
    <row r="456">
      <c r="A456" s="208"/>
      <c r="B456" s="190"/>
      <c r="C456" s="190"/>
      <c r="D456" s="190"/>
      <c r="E456" s="190"/>
      <c r="F456" s="209"/>
      <c r="G456" s="190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</row>
    <row r="457">
      <c r="A457" s="208"/>
      <c r="B457" s="190"/>
      <c r="C457" s="190"/>
      <c r="D457" s="190"/>
      <c r="E457" s="190"/>
      <c r="F457" s="209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</row>
    <row r="458">
      <c r="A458" s="208"/>
      <c r="B458" s="190"/>
      <c r="C458" s="190"/>
      <c r="D458" s="190"/>
      <c r="E458" s="190"/>
      <c r="F458" s="209"/>
      <c r="G458" s="190"/>
      <c r="H458" s="190"/>
      <c r="I458" s="190"/>
      <c r="J458" s="190"/>
      <c r="K458" s="190"/>
      <c r="L458" s="190"/>
      <c r="M458" s="190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</row>
    <row r="459">
      <c r="A459" s="208"/>
      <c r="B459" s="190"/>
      <c r="C459" s="190"/>
      <c r="D459" s="190"/>
      <c r="E459" s="190"/>
      <c r="F459" s="209"/>
      <c r="G459" s="190"/>
      <c r="H459" s="190"/>
      <c r="I459" s="190"/>
      <c r="J459" s="190"/>
      <c r="K459" s="190"/>
      <c r="L459" s="190"/>
      <c r="M459" s="190"/>
      <c r="N459" s="190"/>
      <c r="O459" s="190"/>
      <c r="P459" s="190"/>
      <c r="Q459" s="190"/>
      <c r="R459" s="190"/>
      <c r="S459" s="190"/>
      <c r="T459" s="190"/>
      <c r="U459" s="190"/>
      <c r="V459" s="190"/>
      <c r="W459" s="190"/>
      <c r="X459" s="190"/>
      <c r="Y459" s="190"/>
      <c r="Z459" s="190"/>
    </row>
    <row r="460">
      <c r="A460" s="208"/>
      <c r="B460" s="190"/>
      <c r="C460" s="190"/>
      <c r="D460" s="190"/>
      <c r="E460" s="190"/>
      <c r="F460" s="209"/>
      <c r="G460" s="190"/>
      <c r="H460" s="190"/>
      <c r="I460" s="190"/>
      <c r="J460" s="190"/>
      <c r="K460" s="190"/>
      <c r="L460" s="190"/>
      <c r="M460" s="190"/>
      <c r="N460" s="190"/>
      <c r="O460" s="190"/>
      <c r="P460" s="190"/>
      <c r="Q460" s="190"/>
      <c r="R460" s="190"/>
      <c r="S460" s="190"/>
      <c r="T460" s="190"/>
      <c r="U460" s="190"/>
      <c r="V460" s="190"/>
      <c r="W460" s="190"/>
      <c r="X460" s="190"/>
      <c r="Y460" s="190"/>
      <c r="Z460" s="190"/>
    </row>
    <row r="461">
      <c r="A461" s="208"/>
      <c r="B461" s="190"/>
      <c r="C461" s="190"/>
      <c r="D461" s="190"/>
      <c r="E461" s="190"/>
      <c r="F461" s="209"/>
      <c r="G461" s="190"/>
      <c r="H461" s="190"/>
      <c r="I461" s="190"/>
      <c r="J461" s="190"/>
      <c r="K461" s="190"/>
      <c r="L461" s="190"/>
      <c r="M461" s="190"/>
      <c r="N461" s="190"/>
      <c r="O461" s="190"/>
      <c r="P461" s="190"/>
      <c r="Q461" s="190"/>
      <c r="R461" s="190"/>
      <c r="S461" s="190"/>
      <c r="T461" s="190"/>
      <c r="U461" s="190"/>
      <c r="V461" s="190"/>
      <c r="W461" s="190"/>
      <c r="X461" s="190"/>
      <c r="Y461" s="190"/>
      <c r="Z461" s="190"/>
    </row>
    <row r="462">
      <c r="A462" s="208"/>
      <c r="B462" s="190"/>
      <c r="C462" s="190"/>
      <c r="D462" s="190"/>
      <c r="E462" s="190"/>
      <c r="F462" s="209"/>
      <c r="G462" s="190"/>
      <c r="H462" s="190"/>
      <c r="I462" s="190"/>
      <c r="J462" s="190"/>
      <c r="K462" s="190"/>
      <c r="L462" s="190"/>
      <c r="M462" s="190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</row>
    <row r="463">
      <c r="A463" s="208"/>
      <c r="B463" s="190"/>
      <c r="C463" s="190"/>
      <c r="D463" s="190"/>
      <c r="E463" s="190"/>
      <c r="F463" s="209"/>
      <c r="G463" s="190"/>
      <c r="H463" s="190"/>
      <c r="I463" s="190"/>
      <c r="J463" s="190"/>
      <c r="K463" s="190"/>
      <c r="L463" s="190"/>
      <c r="M463" s="190"/>
      <c r="N463" s="190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</row>
    <row r="464">
      <c r="A464" s="208"/>
      <c r="B464" s="190"/>
      <c r="C464" s="190"/>
      <c r="D464" s="190"/>
      <c r="E464" s="190"/>
      <c r="F464" s="209"/>
      <c r="G464" s="190"/>
      <c r="H464" s="190"/>
      <c r="I464" s="190"/>
      <c r="J464" s="190"/>
      <c r="K464" s="190"/>
      <c r="L464" s="190"/>
      <c r="M464" s="190"/>
      <c r="N464" s="190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</row>
    <row r="465">
      <c r="A465" s="208"/>
      <c r="B465" s="190"/>
      <c r="C465" s="190"/>
      <c r="D465" s="190"/>
      <c r="E465" s="190"/>
      <c r="F465" s="209"/>
      <c r="G465" s="190"/>
      <c r="H465" s="190"/>
      <c r="I465" s="190"/>
      <c r="J465" s="190"/>
      <c r="K465" s="190"/>
      <c r="L465" s="190"/>
      <c r="M465" s="190"/>
      <c r="N465" s="190"/>
      <c r="O465" s="190"/>
      <c r="P465" s="190"/>
      <c r="Q465" s="190"/>
      <c r="R465" s="190"/>
      <c r="S465" s="190"/>
      <c r="T465" s="190"/>
      <c r="U465" s="190"/>
      <c r="V465" s="190"/>
      <c r="W465" s="190"/>
      <c r="X465" s="190"/>
      <c r="Y465" s="190"/>
      <c r="Z465" s="190"/>
    </row>
    <row r="466">
      <c r="A466" s="208"/>
      <c r="B466" s="190"/>
      <c r="C466" s="190"/>
      <c r="D466" s="190"/>
      <c r="E466" s="190"/>
      <c r="F466" s="209"/>
      <c r="G466" s="190"/>
      <c r="H466" s="190"/>
      <c r="I466" s="190"/>
      <c r="J466" s="190"/>
      <c r="K466" s="190"/>
      <c r="L466" s="190"/>
      <c r="M466" s="190"/>
      <c r="N466" s="190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0"/>
    </row>
    <row r="467">
      <c r="A467" s="208"/>
      <c r="B467" s="190"/>
      <c r="C467" s="190"/>
      <c r="D467" s="190"/>
      <c r="E467" s="190"/>
      <c r="F467" s="209"/>
      <c r="G467" s="190"/>
      <c r="H467" s="190"/>
      <c r="I467" s="190"/>
      <c r="J467" s="190"/>
      <c r="K467" s="190"/>
      <c r="L467" s="190"/>
      <c r="M467" s="190"/>
      <c r="N467" s="190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</row>
    <row r="468">
      <c r="A468" s="208"/>
      <c r="B468" s="190"/>
      <c r="C468" s="190"/>
      <c r="D468" s="190"/>
      <c r="E468" s="190"/>
      <c r="F468" s="209"/>
      <c r="G468" s="190"/>
      <c r="H468" s="190"/>
      <c r="I468" s="190"/>
      <c r="J468" s="190"/>
      <c r="K468" s="190"/>
      <c r="L468" s="190"/>
      <c r="M468" s="190"/>
      <c r="N468" s="190"/>
      <c r="O468" s="190"/>
      <c r="P468" s="190"/>
      <c r="Q468" s="190"/>
      <c r="R468" s="190"/>
      <c r="S468" s="190"/>
      <c r="T468" s="190"/>
      <c r="U468" s="190"/>
      <c r="V468" s="190"/>
      <c r="W468" s="190"/>
      <c r="X468" s="190"/>
      <c r="Y468" s="190"/>
      <c r="Z468" s="190"/>
    </row>
    <row r="469">
      <c r="A469" s="208"/>
      <c r="B469" s="190"/>
      <c r="C469" s="190"/>
      <c r="D469" s="190"/>
      <c r="E469" s="190"/>
      <c r="F469" s="209"/>
      <c r="G469" s="190"/>
      <c r="H469" s="190"/>
      <c r="I469" s="190"/>
      <c r="J469" s="190"/>
      <c r="K469" s="190"/>
      <c r="L469" s="190"/>
      <c r="M469" s="190"/>
      <c r="N469" s="190"/>
      <c r="O469" s="190"/>
      <c r="P469" s="190"/>
      <c r="Q469" s="190"/>
      <c r="R469" s="190"/>
      <c r="S469" s="190"/>
      <c r="T469" s="190"/>
      <c r="U469" s="190"/>
      <c r="V469" s="190"/>
      <c r="W469" s="190"/>
      <c r="X469" s="190"/>
      <c r="Y469" s="190"/>
      <c r="Z469" s="190"/>
    </row>
    <row r="470">
      <c r="A470" s="208"/>
      <c r="B470" s="190"/>
      <c r="C470" s="190"/>
      <c r="D470" s="190"/>
      <c r="E470" s="190"/>
      <c r="F470" s="209"/>
      <c r="G470" s="190"/>
      <c r="H470" s="190"/>
      <c r="I470" s="190"/>
      <c r="J470" s="190"/>
      <c r="K470" s="190"/>
      <c r="L470" s="190"/>
      <c r="M470" s="190"/>
      <c r="N470" s="190"/>
      <c r="O470" s="190"/>
      <c r="P470" s="190"/>
      <c r="Q470" s="190"/>
      <c r="R470" s="190"/>
      <c r="S470" s="190"/>
      <c r="T470" s="190"/>
      <c r="U470" s="190"/>
      <c r="V470" s="190"/>
      <c r="W470" s="190"/>
      <c r="X470" s="190"/>
      <c r="Y470" s="190"/>
      <c r="Z470" s="190"/>
    </row>
    <row r="471">
      <c r="A471" s="208"/>
      <c r="B471" s="190"/>
      <c r="C471" s="190"/>
      <c r="D471" s="190"/>
      <c r="E471" s="190"/>
      <c r="F471" s="209"/>
      <c r="G471" s="190"/>
      <c r="H471" s="190"/>
      <c r="I471" s="190"/>
      <c r="J471" s="190"/>
      <c r="K471" s="190"/>
      <c r="L471" s="190"/>
      <c r="M471" s="190"/>
      <c r="N471" s="190"/>
      <c r="O471" s="190"/>
      <c r="P471" s="190"/>
      <c r="Q471" s="190"/>
      <c r="R471" s="190"/>
      <c r="S471" s="190"/>
      <c r="T471" s="190"/>
      <c r="U471" s="190"/>
      <c r="V471" s="190"/>
      <c r="W471" s="190"/>
      <c r="X471" s="190"/>
      <c r="Y471" s="190"/>
      <c r="Z471" s="190"/>
    </row>
    <row r="472">
      <c r="A472" s="208"/>
      <c r="B472" s="190"/>
      <c r="C472" s="190"/>
      <c r="D472" s="190"/>
      <c r="E472" s="190"/>
      <c r="F472" s="209"/>
      <c r="G472" s="190"/>
      <c r="H472" s="190"/>
      <c r="I472" s="190"/>
      <c r="J472" s="190"/>
      <c r="K472" s="190"/>
      <c r="L472" s="190"/>
      <c r="M472" s="190"/>
      <c r="N472" s="190"/>
      <c r="O472" s="190"/>
      <c r="P472" s="190"/>
      <c r="Q472" s="190"/>
      <c r="R472" s="190"/>
      <c r="S472" s="190"/>
      <c r="T472" s="190"/>
      <c r="U472" s="190"/>
      <c r="V472" s="190"/>
      <c r="W472" s="190"/>
      <c r="X472" s="190"/>
      <c r="Y472" s="190"/>
      <c r="Z472" s="190"/>
    </row>
    <row r="473">
      <c r="A473" s="208"/>
      <c r="B473" s="190"/>
      <c r="C473" s="190"/>
      <c r="D473" s="190"/>
      <c r="E473" s="190"/>
      <c r="F473" s="209"/>
      <c r="G473" s="190"/>
      <c r="H473" s="190"/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</row>
    <row r="474">
      <c r="A474" s="208"/>
      <c r="B474" s="190"/>
      <c r="C474" s="190"/>
      <c r="D474" s="190"/>
      <c r="E474" s="190"/>
      <c r="F474" s="209"/>
      <c r="G474" s="190"/>
      <c r="H474" s="190"/>
      <c r="I474" s="190"/>
      <c r="J474" s="190"/>
      <c r="K474" s="190"/>
      <c r="L474" s="190"/>
      <c r="M474" s="190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</row>
    <row r="475">
      <c r="A475" s="208"/>
      <c r="B475" s="190"/>
      <c r="C475" s="190"/>
      <c r="D475" s="190"/>
      <c r="E475" s="190"/>
      <c r="F475" s="209"/>
      <c r="G475" s="190"/>
      <c r="H475" s="190"/>
      <c r="I475" s="190"/>
      <c r="J475" s="190"/>
      <c r="K475" s="190"/>
      <c r="L475" s="190"/>
      <c r="M475" s="190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</row>
    <row r="476">
      <c r="A476" s="208"/>
      <c r="B476" s="190"/>
      <c r="C476" s="190"/>
      <c r="D476" s="190"/>
      <c r="E476" s="190"/>
      <c r="F476" s="209"/>
      <c r="G476" s="190"/>
      <c r="H476" s="190"/>
      <c r="I476" s="190"/>
      <c r="J476" s="190"/>
      <c r="K476" s="190"/>
      <c r="L476" s="190"/>
      <c r="M476" s="190"/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</row>
    <row r="477">
      <c r="A477" s="208"/>
      <c r="B477" s="190"/>
      <c r="C477" s="190"/>
      <c r="D477" s="190"/>
      <c r="E477" s="190"/>
      <c r="F477" s="209"/>
      <c r="G477" s="190"/>
      <c r="H477" s="190"/>
      <c r="I477" s="190"/>
      <c r="J477" s="190"/>
      <c r="K477" s="190"/>
      <c r="L477" s="190"/>
      <c r="M477" s="190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</row>
    <row r="478">
      <c r="A478" s="208"/>
      <c r="B478" s="190"/>
      <c r="C478" s="190"/>
      <c r="D478" s="190"/>
      <c r="E478" s="190"/>
      <c r="F478" s="209"/>
      <c r="G478" s="190"/>
      <c r="H478" s="190"/>
      <c r="I478" s="190"/>
      <c r="J478" s="190"/>
      <c r="K478" s="190"/>
      <c r="L478" s="190"/>
      <c r="M478" s="190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</row>
    <row r="479">
      <c r="A479" s="208"/>
      <c r="B479" s="190"/>
      <c r="C479" s="190"/>
      <c r="D479" s="190"/>
      <c r="E479" s="190"/>
      <c r="F479" s="209"/>
      <c r="G479" s="190"/>
      <c r="H479" s="190"/>
      <c r="I479" s="190"/>
      <c r="J479" s="190"/>
      <c r="K479" s="190"/>
      <c r="L479" s="190"/>
      <c r="M479" s="190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</row>
    <row r="480">
      <c r="A480" s="208"/>
      <c r="B480" s="190"/>
      <c r="C480" s="190"/>
      <c r="D480" s="190"/>
      <c r="E480" s="190"/>
      <c r="F480" s="209"/>
      <c r="G480" s="190"/>
      <c r="H480" s="190"/>
      <c r="I480" s="190"/>
      <c r="J480" s="190"/>
      <c r="K480" s="190"/>
      <c r="L480" s="190"/>
      <c r="M480" s="190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</row>
    <row r="481">
      <c r="A481" s="208"/>
      <c r="B481" s="190"/>
      <c r="C481" s="190"/>
      <c r="D481" s="190"/>
      <c r="E481" s="190"/>
      <c r="F481" s="209"/>
      <c r="G481" s="190"/>
      <c r="H481" s="190"/>
      <c r="I481" s="190"/>
      <c r="J481" s="190"/>
      <c r="K481" s="190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</row>
    <row r="482">
      <c r="A482" s="208"/>
      <c r="B482" s="190"/>
      <c r="C482" s="190"/>
      <c r="D482" s="190"/>
      <c r="E482" s="190"/>
      <c r="F482" s="209"/>
      <c r="G482" s="190"/>
      <c r="H482" s="190"/>
      <c r="I482" s="190"/>
      <c r="J482" s="190"/>
      <c r="K482" s="190"/>
      <c r="L482" s="190"/>
      <c r="M482" s="190"/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0"/>
      <c r="Z482" s="190"/>
    </row>
    <row r="483">
      <c r="A483" s="208"/>
      <c r="B483" s="190"/>
      <c r="C483" s="190"/>
      <c r="D483" s="190"/>
      <c r="E483" s="190"/>
      <c r="F483" s="209"/>
      <c r="G483" s="190"/>
      <c r="H483" s="190"/>
      <c r="I483" s="190"/>
      <c r="J483" s="190"/>
      <c r="K483" s="190"/>
      <c r="L483" s="190"/>
      <c r="M483" s="190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</row>
    <row r="484">
      <c r="A484" s="208"/>
      <c r="B484" s="190"/>
      <c r="C484" s="190"/>
      <c r="D484" s="190"/>
      <c r="E484" s="190"/>
      <c r="F484" s="209"/>
      <c r="G484" s="190"/>
      <c r="H484" s="190"/>
      <c r="I484" s="190"/>
      <c r="J484" s="190"/>
      <c r="K484" s="190"/>
      <c r="L484" s="190"/>
      <c r="M484" s="190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0"/>
      <c r="Z484" s="190"/>
    </row>
    <row r="485">
      <c r="A485" s="208"/>
      <c r="B485" s="190"/>
      <c r="C485" s="190"/>
      <c r="D485" s="190"/>
      <c r="E485" s="190"/>
      <c r="F485" s="209"/>
      <c r="G485" s="190"/>
      <c r="H485" s="190"/>
      <c r="I485" s="190"/>
      <c r="J485" s="190"/>
      <c r="K485" s="190"/>
      <c r="L485" s="190"/>
      <c r="M485" s="190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0"/>
      <c r="Z485" s="190"/>
    </row>
    <row r="486">
      <c r="A486" s="208"/>
      <c r="B486" s="190"/>
      <c r="C486" s="190"/>
      <c r="D486" s="190"/>
      <c r="E486" s="190"/>
      <c r="F486" s="209"/>
      <c r="G486" s="190"/>
      <c r="H486" s="190"/>
      <c r="I486" s="190"/>
      <c r="J486" s="190"/>
      <c r="K486" s="190"/>
      <c r="L486" s="190"/>
      <c r="M486" s="190"/>
      <c r="N486" s="190"/>
      <c r="O486" s="190"/>
      <c r="P486" s="190"/>
      <c r="Q486" s="190"/>
      <c r="R486" s="190"/>
      <c r="S486" s="190"/>
      <c r="T486" s="190"/>
      <c r="U486" s="190"/>
      <c r="V486" s="190"/>
      <c r="W486" s="190"/>
      <c r="X486" s="190"/>
      <c r="Y486" s="190"/>
      <c r="Z486" s="190"/>
    </row>
    <row r="487">
      <c r="A487" s="208"/>
      <c r="B487" s="190"/>
      <c r="C487" s="190"/>
      <c r="D487" s="190"/>
      <c r="E487" s="190"/>
      <c r="F487" s="209"/>
      <c r="G487" s="190"/>
      <c r="H487" s="190"/>
      <c r="I487" s="190"/>
      <c r="J487" s="190"/>
      <c r="K487" s="190"/>
      <c r="L487" s="190"/>
      <c r="M487" s="190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0"/>
      <c r="Z487" s="190"/>
    </row>
    <row r="488">
      <c r="A488" s="208"/>
      <c r="B488" s="190"/>
      <c r="C488" s="190"/>
      <c r="D488" s="190"/>
      <c r="E488" s="190"/>
      <c r="F488" s="209"/>
      <c r="G488" s="190"/>
      <c r="H488" s="190"/>
      <c r="I488" s="190"/>
      <c r="J488" s="190"/>
      <c r="K488" s="190"/>
      <c r="L488" s="190"/>
      <c r="M488" s="190"/>
      <c r="N488" s="190"/>
      <c r="O488" s="190"/>
      <c r="P488" s="190"/>
      <c r="Q488" s="190"/>
      <c r="R488" s="190"/>
      <c r="S488" s="190"/>
      <c r="T488" s="190"/>
      <c r="U488" s="190"/>
      <c r="V488" s="190"/>
      <c r="W488" s="190"/>
      <c r="X488" s="190"/>
      <c r="Y488" s="190"/>
      <c r="Z488" s="190"/>
    </row>
    <row r="489">
      <c r="A489" s="208"/>
      <c r="B489" s="190"/>
      <c r="C489" s="190"/>
      <c r="D489" s="190"/>
      <c r="E489" s="190"/>
      <c r="F489" s="209"/>
      <c r="G489" s="190"/>
      <c r="H489" s="190"/>
      <c r="I489" s="190"/>
      <c r="J489" s="190"/>
      <c r="K489" s="190"/>
      <c r="L489" s="190"/>
      <c r="M489" s="190"/>
      <c r="N489" s="190"/>
      <c r="O489" s="190"/>
      <c r="P489" s="190"/>
      <c r="Q489" s="190"/>
      <c r="R489" s="190"/>
      <c r="S489" s="190"/>
      <c r="T489" s="190"/>
      <c r="U489" s="190"/>
      <c r="V489" s="190"/>
      <c r="W489" s="190"/>
      <c r="X489" s="190"/>
      <c r="Y489" s="190"/>
      <c r="Z489" s="190"/>
    </row>
    <row r="490">
      <c r="A490" s="208"/>
      <c r="B490" s="190"/>
      <c r="C490" s="190"/>
      <c r="D490" s="190"/>
      <c r="E490" s="190"/>
      <c r="F490" s="209"/>
      <c r="G490" s="190"/>
      <c r="H490" s="190"/>
      <c r="I490" s="190"/>
      <c r="J490" s="190"/>
      <c r="K490" s="190"/>
      <c r="L490" s="190"/>
      <c r="M490" s="190"/>
      <c r="N490" s="190"/>
      <c r="O490" s="190"/>
      <c r="P490" s="190"/>
      <c r="Q490" s="190"/>
      <c r="R490" s="190"/>
      <c r="S490" s="190"/>
      <c r="T490" s="190"/>
      <c r="U490" s="190"/>
      <c r="V490" s="190"/>
      <c r="W490" s="190"/>
      <c r="X490" s="190"/>
      <c r="Y490" s="190"/>
      <c r="Z490" s="190"/>
    </row>
    <row r="491">
      <c r="A491" s="208"/>
      <c r="B491" s="190"/>
      <c r="C491" s="190"/>
      <c r="D491" s="190"/>
      <c r="E491" s="190"/>
      <c r="F491" s="209"/>
      <c r="G491" s="190"/>
      <c r="H491" s="190"/>
      <c r="I491" s="190"/>
      <c r="J491" s="190"/>
      <c r="K491" s="190"/>
      <c r="L491" s="190"/>
      <c r="M491" s="190"/>
      <c r="N491" s="190"/>
      <c r="O491" s="190"/>
      <c r="P491" s="190"/>
      <c r="Q491" s="190"/>
      <c r="R491" s="190"/>
      <c r="S491" s="190"/>
      <c r="T491" s="190"/>
      <c r="U491" s="190"/>
      <c r="V491" s="190"/>
      <c r="W491" s="190"/>
      <c r="X491" s="190"/>
      <c r="Y491" s="190"/>
      <c r="Z491" s="190"/>
    </row>
    <row r="492">
      <c r="A492" s="208"/>
      <c r="B492" s="190"/>
      <c r="C492" s="190"/>
      <c r="D492" s="190"/>
      <c r="E492" s="190"/>
      <c r="F492" s="209"/>
      <c r="G492" s="190"/>
      <c r="H492" s="190"/>
      <c r="I492" s="190"/>
      <c r="J492" s="190"/>
      <c r="K492" s="190"/>
      <c r="L492" s="190"/>
      <c r="M492" s="190"/>
      <c r="N492" s="190"/>
      <c r="O492" s="190"/>
      <c r="P492" s="190"/>
      <c r="Q492" s="190"/>
      <c r="R492" s="190"/>
      <c r="S492" s="190"/>
      <c r="T492" s="190"/>
      <c r="U492" s="190"/>
      <c r="V492" s="190"/>
      <c r="W492" s="190"/>
      <c r="X492" s="190"/>
      <c r="Y492" s="190"/>
      <c r="Z492" s="190"/>
    </row>
    <row r="493">
      <c r="A493" s="208"/>
      <c r="B493" s="190"/>
      <c r="C493" s="190"/>
      <c r="D493" s="190"/>
      <c r="E493" s="190"/>
      <c r="F493" s="209"/>
      <c r="G493" s="190"/>
      <c r="H493" s="190"/>
      <c r="I493" s="190"/>
      <c r="J493" s="190"/>
      <c r="K493" s="190"/>
      <c r="L493" s="190"/>
      <c r="M493" s="190"/>
      <c r="N493" s="190"/>
      <c r="O493" s="190"/>
      <c r="P493" s="190"/>
      <c r="Q493" s="190"/>
      <c r="R493" s="190"/>
      <c r="S493" s="190"/>
      <c r="T493" s="190"/>
      <c r="U493" s="190"/>
      <c r="V493" s="190"/>
      <c r="W493" s="190"/>
      <c r="X493" s="190"/>
      <c r="Y493" s="190"/>
      <c r="Z493" s="190"/>
    </row>
    <row r="494">
      <c r="A494" s="208"/>
      <c r="B494" s="190"/>
      <c r="C494" s="190"/>
      <c r="D494" s="190"/>
      <c r="E494" s="190"/>
      <c r="F494" s="209"/>
      <c r="G494" s="190"/>
      <c r="H494" s="190"/>
      <c r="I494" s="190"/>
      <c r="J494" s="190"/>
      <c r="K494" s="190"/>
      <c r="L494" s="190"/>
      <c r="M494" s="190"/>
      <c r="N494" s="190"/>
      <c r="O494" s="190"/>
      <c r="P494" s="190"/>
      <c r="Q494" s="190"/>
      <c r="R494" s="190"/>
      <c r="S494" s="190"/>
      <c r="T494" s="190"/>
      <c r="U494" s="190"/>
      <c r="V494" s="190"/>
      <c r="W494" s="190"/>
      <c r="X494" s="190"/>
      <c r="Y494" s="190"/>
      <c r="Z494" s="190"/>
    </row>
    <row r="495">
      <c r="A495" s="208"/>
      <c r="B495" s="190"/>
      <c r="C495" s="190"/>
      <c r="D495" s="190"/>
      <c r="E495" s="190"/>
      <c r="F495" s="209"/>
      <c r="G495" s="190"/>
      <c r="H495" s="190"/>
      <c r="I495" s="190"/>
      <c r="J495" s="190"/>
      <c r="K495" s="190"/>
      <c r="L495" s="190"/>
      <c r="M495" s="190"/>
      <c r="N495" s="190"/>
      <c r="O495" s="190"/>
      <c r="P495" s="190"/>
      <c r="Q495" s="190"/>
      <c r="R495" s="190"/>
      <c r="S495" s="190"/>
      <c r="T495" s="190"/>
      <c r="U495" s="190"/>
      <c r="V495" s="190"/>
      <c r="W495" s="190"/>
      <c r="X495" s="190"/>
      <c r="Y495" s="190"/>
      <c r="Z495" s="190"/>
    </row>
    <row r="496">
      <c r="A496" s="208"/>
      <c r="B496" s="190"/>
      <c r="C496" s="190"/>
      <c r="D496" s="190"/>
      <c r="E496" s="190"/>
      <c r="F496" s="209"/>
      <c r="G496" s="190"/>
      <c r="H496" s="190"/>
      <c r="I496" s="190"/>
      <c r="J496" s="190"/>
      <c r="K496" s="190"/>
      <c r="L496" s="190"/>
      <c r="M496" s="190"/>
      <c r="N496" s="190"/>
      <c r="O496" s="190"/>
      <c r="P496" s="190"/>
      <c r="Q496" s="190"/>
      <c r="R496" s="190"/>
      <c r="S496" s="190"/>
      <c r="T496" s="190"/>
      <c r="U496" s="190"/>
      <c r="V496" s="190"/>
      <c r="W496" s="190"/>
      <c r="X496" s="190"/>
      <c r="Y496" s="190"/>
      <c r="Z496" s="190"/>
    </row>
    <row r="497">
      <c r="A497" s="208"/>
      <c r="B497" s="190"/>
      <c r="C497" s="190"/>
      <c r="D497" s="190"/>
      <c r="E497" s="190"/>
      <c r="F497" s="209"/>
      <c r="G497" s="190"/>
      <c r="H497" s="190"/>
      <c r="I497" s="190"/>
      <c r="J497" s="190"/>
      <c r="K497" s="190"/>
      <c r="L497" s="190"/>
      <c r="M497" s="190"/>
      <c r="N497" s="190"/>
      <c r="O497" s="190"/>
      <c r="P497" s="190"/>
      <c r="Q497" s="190"/>
      <c r="R497" s="190"/>
      <c r="S497" s="190"/>
      <c r="T497" s="190"/>
      <c r="U497" s="190"/>
      <c r="V497" s="190"/>
      <c r="W497" s="190"/>
      <c r="X497" s="190"/>
      <c r="Y497" s="190"/>
      <c r="Z497" s="190"/>
    </row>
    <row r="498">
      <c r="A498" s="208"/>
      <c r="B498" s="190"/>
      <c r="C498" s="190"/>
      <c r="D498" s="190"/>
      <c r="E498" s="190"/>
      <c r="F498" s="209"/>
      <c r="G498" s="190"/>
      <c r="H498" s="190"/>
      <c r="I498" s="190"/>
      <c r="J498" s="190"/>
      <c r="K498" s="190"/>
      <c r="L498" s="190"/>
      <c r="M498" s="190"/>
      <c r="N498" s="190"/>
      <c r="O498" s="190"/>
      <c r="P498" s="190"/>
      <c r="Q498" s="190"/>
      <c r="R498" s="190"/>
      <c r="S498" s="190"/>
      <c r="T498" s="190"/>
      <c r="U498" s="190"/>
      <c r="V498" s="190"/>
      <c r="W498" s="190"/>
      <c r="X498" s="190"/>
      <c r="Y498" s="190"/>
      <c r="Z498" s="190"/>
    </row>
    <row r="499">
      <c r="A499" s="208"/>
      <c r="B499" s="190"/>
      <c r="C499" s="190"/>
      <c r="D499" s="190"/>
      <c r="E499" s="190"/>
      <c r="F499" s="209"/>
      <c r="G499" s="190"/>
      <c r="H499" s="190"/>
      <c r="I499" s="190"/>
      <c r="J499" s="190"/>
      <c r="K499" s="190"/>
      <c r="L499" s="190"/>
      <c r="M499" s="190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0"/>
    </row>
    <row r="500">
      <c r="A500" s="208"/>
      <c r="B500" s="190"/>
      <c r="C500" s="190"/>
      <c r="D500" s="190"/>
      <c r="E500" s="190"/>
      <c r="F500" s="209"/>
      <c r="G500" s="190"/>
      <c r="H500" s="190"/>
      <c r="I500" s="190"/>
      <c r="J500" s="190"/>
      <c r="K500" s="190"/>
      <c r="L500" s="190"/>
      <c r="M500" s="190"/>
      <c r="N500" s="190"/>
      <c r="O500" s="190"/>
      <c r="P500" s="190"/>
      <c r="Q500" s="190"/>
      <c r="R500" s="190"/>
      <c r="S500" s="190"/>
      <c r="T500" s="190"/>
      <c r="U500" s="190"/>
      <c r="V500" s="190"/>
      <c r="W500" s="190"/>
      <c r="X500" s="190"/>
      <c r="Y500" s="190"/>
      <c r="Z500" s="190"/>
    </row>
    <row r="501">
      <c r="A501" s="208"/>
      <c r="B501" s="190"/>
      <c r="C501" s="190"/>
      <c r="D501" s="190"/>
      <c r="E501" s="190"/>
      <c r="F501" s="209"/>
      <c r="G501" s="190"/>
      <c r="H501" s="190"/>
      <c r="I501" s="190"/>
      <c r="J501" s="190"/>
      <c r="K501" s="190"/>
      <c r="L501" s="190"/>
      <c r="M501" s="190"/>
      <c r="N501" s="190"/>
      <c r="O501" s="190"/>
      <c r="P501" s="190"/>
      <c r="Q501" s="190"/>
      <c r="R501" s="190"/>
      <c r="S501" s="190"/>
      <c r="T501" s="190"/>
      <c r="U501" s="190"/>
      <c r="V501" s="190"/>
      <c r="W501" s="190"/>
      <c r="X501" s="190"/>
      <c r="Y501" s="190"/>
      <c r="Z501" s="190"/>
    </row>
    <row r="502">
      <c r="A502" s="208"/>
      <c r="B502" s="190"/>
      <c r="C502" s="190"/>
      <c r="D502" s="190"/>
      <c r="E502" s="190"/>
      <c r="F502" s="209"/>
      <c r="G502" s="190"/>
      <c r="H502" s="190"/>
      <c r="I502" s="190"/>
      <c r="J502" s="190"/>
      <c r="K502" s="190"/>
      <c r="L502" s="190"/>
      <c r="M502" s="190"/>
      <c r="N502" s="190"/>
      <c r="O502" s="190"/>
      <c r="P502" s="190"/>
      <c r="Q502" s="190"/>
      <c r="R502" s="190"/>
      <c r="S502" s="190"/>
      <c r="T502" s="190"/>
      <c r="U502" s="190"/>
      <c r="V502" s="190"/>
      <c r="W502" s="190"/>
      <c r="X502" s="190"/>
      <c r="Y502" s="190"/>
      <c r="Z502" s="190"/>
    </row>
    <row r="503">
      <c r="A503" s="208"/>
      <c r="B503" s="190"/>
      <c r="C503" s="190"/>
      <c r="D503" s="190"/>
      <c r="E503" s="190"/>
      <c r="F503" s="209"/>
      <c r="G503" s="190"/>
      <c r="H503" s="190"/>
      <c r="I503" s="190"/>
      <c r="J503" s="190"/>
      <c r="K503" s="190"/>
      <c r="L503" s="190"/>
      <c r="M503" s="190"/>
      <c r="N503" s="190"/>
      <c r="O503" s="190"/>
      <c r="P503" s="190"/>
      <c r="Q503" s="190"/>
      <c r="R503" s="190"/>
      <c r="S503" s="190"/>
      <c r="T503" s="190"/>
      <c r="U503" s="190"/>
      <c r="V503" s="190"/>
      <c r="W503" s="190"/>
      <c r="X503" s="190"/>
      <c r="Y503" s="190"/>
      <c r="Z503" s="190"/>
    </row>
    <row r="504">
      <c r="A504" s="208"/>
      <c r="B504" s="190"/>
      <c r="C504" s="190"/>
      <c r="D504" s="190"/>
      <c r="E504" s="190"/>
      <c r="F504" s="209"/>
      <c r="G504" s="190"/>
      <c r="H504" s="190"/>
      <c r="I504" s="190"/>
      <c r="J504" s="190"/>
      <c r="K504" s="190"/>
      <c r="L504" s="190"/>
      <c r="M504" s="190"/>
      <c r="N504" s="190"/>
      <c r="O504" s="190"/>
      <c r="P504" s="190"/>
      <c r="Q504" s="190"/>
      <c r="R504" s="190"/>
      <c r="S504" s="190"/>
      <c r="T504" s="190"/>
      <c r="U504" s="190"/>
      <c r="V504" s="190"/>
      <c r="W504" s="190"/>
      <c r="X504" s="190"/>
      <c r="Y504" s="190"/>
      <c r="Z504" s="190"/>
    </row>
    <row r="505">
      <c r="A505" s="208"/>
      <c r="B505" s="190"/>
      <c r="C505" s="190"/>
      <c r="D505" s="190"/>
      <c r="E505" s="190"/>
      <c r="F505" s="209"/>
      <c r="G505" s="190"/>
      <c r="H505" s="190"/>
      <c r="I505" s="190"/>
      <c r="J505" s="190"/>
      <c r="K505" s="190"/>
      <c r="L505" s="190"/>
      <c r="M505" s="190"/>
      <c r="N505" s="190"/>
      <c r="O505" s="190"/>
      <c r="P505" s="190"/>
      <c r="Q505" s="190"/>
      <c r="R505" s="190"/>
      <c r="S505" s="190"/>
      <c r="T505" s="190"/>
      <c r="U505" s="190"/>
      <c r="V505" s="190"/>
      <c r="W505" s="190"/>
      <c r="X505" s="190"/>
      <c r="Y505" s="190"/>
      <c r="Z505" s="190"/>
    </row>
    <row r="506">
      <c r="A506" s="208"/>
      <c r="B506" s="190"/>
      <c r="C506" s="190"/>
      <c r="D506" s="190"/>
      <c r="E506" s="190"/>
      <c r="F506" s="209"/>
      <c r="G506" s="190"/>
      <c r="H506" s="190"/>
      <c r="I506" s="190"/>
      <c r="J506" s="190"/>
      <c r="K506" s="190"/>
      <c r="L506" s="190"/>
      <c r="M506" s="190"/>
      <c r="N506" s="190"/>
      <c r="O506" s="190"/>
      <c r="P506" s="190"/>
      <c r="Q506" s="190"/>
      <c r="R506" s="190"/>
      <c r="S506" s="190"/>
      <c r="T506" s="190"/>
      <c r="U506" s="190"/>
      <c r="V506" s="190"/>
      <c r="W506" s="190"/>
      <c r="X506" s="190"/>
      <c r="Y506" s="190"/>
      <c r="Z506" s="190"/>
    </row>
    <row r="507">
      <c r="A507" s="208"/>
      <c r="B507" s="190"/>
      <c r="C507" s="190"/>
      <c r="D507" s="190"/>
      <c r="E507" s="190"/>
      <c r="F507" s="209"/>
      <c r="G507" s="190"/>
      <c r="H507" s="190"/>
      <c r="I507" s="190"/>
      <c r="J507" s="190"/>
      <c r="K507" s="190"/>
      <c r="L507" s="190"/>
      <c r="M507" s="190"/>
      <c r="N507" s="190"/>
      <c r="O507" s="190"/>
      <c r="P507" s="190"/>
      <c r="Q507" s="190"/>
      <c r="R507" s="190"/>
      <c r="S507" s="190"/>
      <c r="T507" s="190"/>
      <c r="U507" s="190"/>
      <c r="V507" s="190"/>
      <c r="W507" s="190"/>
      <c r="X507" s="190"/>
      <c r="Y507" s="190"/>
      <c r="Z507" s="190"/>
    </row>
    <row r="508">
      <c r="A508" s="208"/>
      <c r="B508" s="190"/>
      <c r="C508" s="190"/>
      <c r="D508" s="190"/>
      <c r="E508" s="190"/>
      <c r="F508" s="209"/>
      <c r="G508" s="190"/>
      <c r="H508" s="190"/>
      <c r="I508" s="190"/>
      <c r="J508" s="190"/>
      <c r="K508" s="190"/>
      <c r="L508" s="190"/>
      <c r="M508" s="190"/>
      <c r="N508" s="190"/>
      <c r="O508" s="190"/>
      <c r="P508" s="190"/>
      <c r="Q508" s="190"/>
      <c r="R508" s="190"/>
      <c r="S508" s="190"/>
      <c r="T508" s="190"/>
      <c r="U508" s="190"/>
      <c r="V508" s="190"/>
      <c r="W508" s="190"/>
      <c r="X508" s="190"/>
      <c r="Y508" s="190"/>
      <c r="Z508" s="190"/>
    </row>
    <row r="509">
      <c r="A509" s="208"/>
      <c r="B509" s="190"/>
      <c r="C509" s="190"/>
      <c r="D509" s="190"/>
      <c r="E509" s="190"/>
      <c r="F509" s="209"/>
      <c r="G509" s="190"/>
      <c r="H509" s="190"/>
      <c r="I509" s="190"/>
      <c r="J509" s="190"/>
      <c r="K509" s="190"/>
      <c r="L509" s="190"/>
      <c r="M509" s="190"/>
      <c r="N509" s="190"/>
      <c r="O509" s="190"/>
      <c r="P509" s="190"/>
      <c r="Q509" s="190"/>
      <c r="R509" s="190"/>
      <c r="S509" s="190"/>
      <c r="T509" s="190"/>
      <c r="U509" s="190"/>
      <c r="V509" s="190"/>
      <c r="W509" s="190"/>
      <c r="X509" s="190"/>
      <c r="Y509" s="190"/>
      <c r="Z509" s="190"/>
    </row>
    <row r="510">
      <c r="A510" s="208"/>
      <c r="B510" s="190"/>
      <c r="C510" s="190"/>
      <c r="D510" s="190"/>
      <c r="E510" s="190"/>
      <c r="F510" s="209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</row>
    <row r="511">
      <c r="A511" s="208"/>
      <c r="B511" s="190"/>
      <c r="C511" s="190"/>
      <c r="D511" s="190"/>
      <c r="E511" s="190"/>
      <c r="F511" s="209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</row>
    <row r="512">
      <c r="A512" s="208"/>
      <c r="B512" s="190"/>
      <c r="C512" s="190"/>
      <c r="D512" s="190"/>
      <c r="E512" s="190"/>
      <c r="F512" s="209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</row>
    <row r="513">
      <c r="A513" s="208"/>
      <c r="B513" s="190"/>
      <c r="C513" s="190"/>
      <c r="D513" s="190"/>
      <c r="E513" s="190"/>
      <c r="F513" s="209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</row>
    <row r="514">
      <c r="A514" s="208"/>
      <c r="B514" s="190"/>
      <c r="C514" s="190"/>
      <c r="D514" s="190"/>
      <c r="E514" s="190"/>
      <c r="F514" s="209"/>
      <c r="G514" s="190"/>
      <c r="H514" s="190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</row>
    <row r="515">
      <c r="A515" s="208"/>
      <c r="B515" s="190"/>
      <c r="C515" s="190"/>
      <c r="D515" s="190"/>
      <c r="E515" s="190"/>
      <c r="F515" s="209"/>
      <c r="G515" s="190"/>
      <c r="H515" s="190"/>
      <c r="I515" s="190"/>
      <c r="J515" s="190"/>
      <c r="K515" s="190"/>
      <c r="L515" s="190"/>
      <c r="M515" s="190"/>
      <c r="N515" s="190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</row>
    <row r="516">
      <c r="A516" s="208"/>
      <c r="B516" s="190"/>
      <c r="C516" s="190"/>
      <c r="D516" s="190"/>
      <c r="E516" s="190"/>
      <c r="F516" s="209"/>
      <c r="G516" s="190"/>
      <c r="H516" s="190"/>
      <c r="I516" s="190"/>
      <c r="J516" s="190"/>
      <c r="K516" s="190"/>
      <c r="L516" s="190"/>
      <c r="M516" s="190"/>
      <c r="N516" s="190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</row>
    <row r="517">
      <c r="A517" s="208"/>
      <c r="B517" s="190"/>
      <c r="C517" s="190"/>
      <c r="D517" s="190"/>
      <c r="E517" s="190"/>
      <c r="F517" s="209"/>
      <c r="G517" s="190"/>
      <c r="H517" s="190"/>
      <c r="I517" s="190"/>
      <c r="J517" s="190"/>
      <c r="K517" s="190"/>
      <c r="L517" s="190"/>
      <c r="M517" s="190"/>
      <c r="N517" s="190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</row>
    <row r="518">
      <c r="A518" s="208"/>
      <c r="B518" s="190"/>
      <c r="C518" s="190"/>
      <c r="D518" s="190"/>
      <c r="E518" s="190"/>
      <c r="F518" s="209"/>
      <c r="G518" s="190"/>
      <c r="H518" s="190"/>
      <c r="I518" s="190"/>
      <c r="J518" s="190"/>
      <c r="K518" s="190"/>
      <c r="L518" s="190"/>
      <c r="M518" s="190"/>
      <c r="N518" s="190"/>
      <c r="O518" s="190"/>
      <c r="P518" s="190"/>
      <c r="Q518" s="190"/>
      <c r="R518" s="190"/>
      <c r="S518" s="190"/>
      <c r="T518" s="190"/>
      <c r="U518" s="190"/>
      <c r="V518" s="190"/>
      <c r="W518" s="190"/>
      <c r="X518" s="190"/>
      <c r="Y518" s="190"/>
      <c r="Z518" s="190"/>
    </row>
    <row r="519">
      <c r="A519" s="208"/>
      <c r="B519" s="190"/>
      <c r="C519" s="190"/>
      <c r="D519" s="190"/>
      <c r="E519" s="190"/>
      <c r="F519" s="209"/>
      <c r="G519" s="190"/>
      <c r="H519" s="190"/>
      <c r="I519" s="190"/>
      <c r="J519" s="190"/>
      <c r="K519" s="190"/>
      <c r="L519" s="190"/>
      <c r="M519" s="190"/>
      <c r="N519" s="190"/>
      <c r="O519" s="190"/>
      <c r="P519" s="190"/>
      <c r="Q519" s="190"/>
      <c r="R519" s="190"/>
      <c r="S519" s="190"/>
      <c r="T519" s="190"/>
      <c r="U519" s="190"/>
      <c r="V519" s="190"/>
      <c r="W519" s="190"/>
      <c r="X519" s="190"/>
      <c r="Y519" s="190"/>
      <c r="Z519" s="190"/>
    </row>
    <row r="520">
      <c r="A520" s="208"/>
      <c r="B520" s="190"/>
      <c r="C520" s="190"/>
      <c r="D520" s="190"/>
      <c r="E520" s="190"/>
      <c r="F520" s="209"/>
      <c r="G520" s="190"/>
      <c r="H520" s="190"/>
      <c r="I520" s="190"/>
      <c r="J520" s="190"/>
      <c r="K520" s="190"/>
      <c r="L520" s="190"/>
      <c r="M520" s="190"/>
      <c r="N520" s="190"/>
      <c r="O520" s="190"/>
      <c r="P520" s="190"/>
      <c r="Q520" s="190"/>
      <c r="R520" s="190"/>
      <c r="S520" s="190"/>
      <c r="T520" s="190"/>
      <c r="U520" s="190"/>
      <c r="V520" s="190"/>
      <c r="W520" s="190"/>
      <c r="X520" s="190"/>
      <c r="Y520" s="190"/>
      <c r="Z520" s="190"/>
    </row>
    <row r="521">
      <c r="A521" s="208"/>
      <c r="B521" s="190"/>
      <c r="C521" s="190"/>
      <c r="D521" s="190"/>
      <c r="E521" s="190"/>
      <c r="F521" s="209"/>
      <c r="G521" s="190"/>
      <c r="H521" s="190"/>
      <c r="I521" s="190"/>
      <c r="J521" s="190"/>
      <c r="K521" s="190"/>
      <c r="L521" s="190"/>
      <c r="M521" s="190"/>
      <c r="N521" s="190"/>
      <c r="O521" s="190"/>
      <c r="P521" s="190"/>
      <c r="Q521" s="190"/>
      <c r="R521" s="190"/>
      <c r="S521" s="190"/>
      <c r="T521" s="190"/>
      <c r="U521" s="190"/>
      <c r="V521" s="190"/>
      <c r="W521" s="190"/>
      <c r="X521" s="190"/>
      <c r="Y521" s="190"/>
      <c r="Z521" s="190"/>
    </row>
    <row r="522">
      <c r="A522" s="208"/>
      <c r="B522" s="190"/>
      <c r="C522" s="190"/>
      <c r="D522" s="190"/>
      <c r="E522" s="190"/>
      <c r="F522" s="209"/>
      <c r="G522" s="190"/>
      <c r="H522" s="190"/>
      <c r="I522" s="190"/>
      <c r="J522" s="190"/>
      <c r="K522" s="190"/>
      <c r="L522" s="190"/>
      <c r="M522" s="190"/>
      <c r="N522" s="190"/>
      <c r="O522" s="190"/>
      <c r="P522" s="190"/>
      <c r="Q522" s="190"/>
      <c r="R522" s="190"/>
      <c r="S522" s="190"/>
      <c r="T522" s="190"/>
      <c r="U522" s="190"/>
      <c r="V522" s="190"/>
      <c r="W522" s="190"/>
      <c r="X522" s="190"/>
      <c r="Y522" s="190"/>
      <c r="Z522" s="190"/>
    </row>
    <row r="523">
      <c r="A523" s="208"/>
      <c r="B523" s="190"/>
      <c r="C523" s="190"/>
      <c r="D523" s="190"/>
      <c r="E523" s="190"/>
      <c r="F523" s="209"/>
      <c r="G523" s="190"/>
      <c r="H523" s="190"/>
      <c r="I523" s="190"/>
      <c r="J523" s="190"/>
      <c r="K523" s="190"/>
      <c r="L523" s="190"/>
      <c r="M523" s="190"/>
      <c r="N523" s="190"/>
      <c r="O523" s="190"/>
      <c r="P523" s="190"/>
      <c r="Q523" s="190"/>
      <c r="R523" s="190"/>
      <c r="S523" s="190"/>
      <c r="T523" s="190"/>
      <c r="U523" s="190"/>
      <c r="V523" s="190"/>
      <c r="W523" s="190"/>
      <c r="X523" s="190"/>
      <c r="Y523" s="190"/>
      <c r="Z523" s="190"/>
    </row>
    <row r="524">
      <c r="A524" s="208"/>
      <c r="B524" s="190"/>
      <c r="C524" s="190"/>
      <c r="D524" s="190"/>
      <c r="E524" s="190"/>
      <c r="F524" s="209"/>
      <c r="G524" s="190"/>
      <c r="H524" s="190"/>
      <c r="I524" s="190"/>
      <c r="J524" s="190"/>
      <c r="K524" s="190"/>
      <c r="L524" s="190"/>
      <c r="M524" s="190"/>
      <c r="N524" s="190"/>
      <c r="O524" s="190"/>
      <c r="P524" s="190"/>
      <c r="Q524" s="190"/>
      <c r="R524" s="190"/>
      <c r="S524" s="190"/>
      <c r="T524" s="190"/>
      <c r="U524" s="190"/>
      <c r="V524" s="190"/>
      <c r="W524" s="190"/>
      <c r="X524" s="190"/>
      <c r="Y524" s="190"/>
      <c r="Z524" s="190"/>
    </row>
    <row r="525">
      <c r="A525" s="208"/>
      <c r="B525" s="190"/>
      <c r="C525" s="190"/>
      <c r="D525" s="190"/>
      <c r="E525" s="190"/>
      <c r="F525" s="209"/>
      <c r="G525" s="190"/>
      <c r="H525" s="190"/>
      <c r="I525" s="190"/>
      <c r="J525" s="190"/>
      <c r="K525" s="190"/>
      <c r="L525" s="190"/>
      <c r="M525" s="190"/>
      <c r="N525" s="190"/>
      <c r="O525" s="190"/>
      <c r="P525" s="190"/>
      <c r="Q525" s="190"/>
      <c r="R525" s="190"/>
      <c r="S525" s="190"/>
      <c r="T525" s="190"/>
      <c r="U525" s="190"/>
      <c r="V525" s="190"/>
      <c r="W525" s="190"/>
      <c r="X525" s="190"/>
      <c r="Y525" s="190"/>
      <c r="Z525" s="190"/>
    </row>
    <row r="526">
      <c r="A526" s="208"/>
      <c r="B526" s="190"/>
      <c r="C526" s="190"/>
      <c r="D526" s="190"/>
      <c r="E526" s="190"/>
      <c r="F526" s="209"/>
      <c r="G526" s="190"/>
      <c r="H526" s="190"/>
      <c r="I526" s="190"/>
      <c r="J526" s="190"/>
      <c r="K526" s="190"/>
      <c r="L526" s="190"/>
      <c r="M526" s="190"/>
      <c r="N526" s="190"/>
      <c r="O526" s="190"/>
      <c r="P526" s="190"/>
      <c r="Q526" s="190"/>
      <c r="R526" s="190"/>
      <c r="S526" s="190"/>
      <c r="T526" s="190"/>
      <c r="U526" s="190"/>
      <c r="V526" s="190"/>
      <c r="W526" s="190"/>
      <c r="X526" s="190"/>
      <c r="Y526" s="190"/>
      <c r="Z526" s="190"/>
    </row>
    <row r="527">
      <c r="A527" s="208"/>
      <c r="B527" s="190"/>
      <c r="C527" s="190"/>
      <c r="D527" s="190"/>
      <c r="E527" s="190"/>
      <c r="F527" s="209"/>
      <c r="G527" s="190"/>
      <c r="H527" s="190"/>
      <c r="I527" s="190"/>
      <c r="J527" s="190"/>
      <c r="K527" s="190"/>
      <c r="L527" s="190"/>
      <c r="M527" s="190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</row>
    <row r="528">
      <c r="A528" s="208"/>
      <c r="B528" s="190"/>
      <c r="C528" s="190"/>
      <c r="D528" s="190"/>
      <c r="E528" s="190"/>
      <c r="F528" s="209"/>
      <c r="G528" s="190"/>
      <c r="H528" s="190"/>
      <c r="I528" s="190"/>
      <c r="J528" s="190"/>
      <c r="K528" s="190"/>
      <c r="L528" s="190"/>
      <c r="M528" s="190"/>
      <c r="N528" s="190"/>
      <c r="O528" s="190"/>
      <c r="P528" s="190"/>
      <c r="Q528" s="190"/>
      <c r="R528" s="190"/>
      <c r="S528" s="190"/>
      <c r="T528" s="190"/>
      <c r="U528" s="190"/>
      <c r="V528" s="190"/>
      <c r="W528" s="190"/>
      <c r="X528" s="190"/>
      <c r="Y528" s="190"/>
      <c r="Z528" s="190"/>
    </row>
    <row r="529">
      <c r="A529" s="208"/>
      <c r="B529" s="190"/>
      <c r="C529" s="190"/>
      <c r="D529" s="190"/>
      <c r="E529" s="190"/>
      <c r="F529" s="209"/>
      <c r="G529" s="190"/>
      <c r="H529" s="190"/>
      <c r="I529" s="190"/>
      <c r="J529" s="190"/>
      <c r="K529" s="190"/>
      <c r="L529" s="190"/>
      <c r="M529" s="190"/>
      <c r="N529" s="190"/>
      <c r="O529" s="190"/>
      <c r="P529" s="190"/>
      <c r="Q529" s="190"/>
      <c r="R529" s="190"/>
      <c r="S529" s="190"/>
      <c r="T529" s="190"/>
      <c r="U529" s="190"/>
      <c r="V529" s="190"/>
      <c r="W529" s="190"/>
      <c r="X529" s="190"/>
      <c r="Y529" s="190"/>
      <c r="Z529" s="190"/>
    </row>
    <row r="530">
      <c r="A530" s="208"/>
      <c r="B530" s="190"/>
      <c r="C530" s="190"/>
      <c r="D530" s="190"/>
      <c r="E530" s="190"/>
      <c r="F530" s="209"/>
      <c r="G530" s="190"/>
      <c r="H530" s="190"/>
      <c r="I530" s="190"/>
      <c r="J530" s="190"/>
      <c r="K530" s="190"/>
      <c r="L530" s="190"/>
      <c r="M530" s="190"/>
      <c r="N530" s="190"/>
      <c r="O530" s="190"/>
      <c r="P530" s="190"/>
      <c r="Q530" s="190"/>
      <c r="R530" s="190"/>
      <c r="S530" s="190"/>
      <c r="T530" s="190"/>
      <c r="U530" s="190"/>
      <c r="V530" s="190"/>
      <c r="W530" s="190"/>
      <c r="X530" s="190"/>
      <c r="Y530" s="190"/>
      <c r="Z530" s="190"/>
    </row>
    <row r="531">
      <c r="A531" s="208"/>
      <c r="B531" s="190"/>
      <c r="C531" s="190"/>
      <c r="D531" s="190"/>
      <c r="E531" s="190"/>
      <c r="F531" s="209"/>
      <c r="G531" s="190"/>
      <c r="H531" s="190"/>
      <c r="I531" s="190"/>
      <c r="J531" s="190"/>
      <c r="K531" s="190"/>
      <c r="L531" s="190"/>
      <c r="M531" s="190"/>
      <c r="N531" s="190"/>
      <c r="O531" s="190"/>
      <c r="P531" s="190"/>
      <c r="Q531" s="190"/>
      <c r="R531" s="190"/>
      <c r="S531" s="190"/>
      <c r="T531" s="190"/>
      <c r="U531" s="190"/>
      <c r="V531" s="190"/>
      <c r="W531" s="190"/>
      <c r="X531" s="190"/>
      <c r="Y531" s="190"/>
      <c r="Z531" s="190"/>
    </row>
    <row r="532">
      <c r="A532" s="208"/>
      <c r="B532" s="190"/>
      <c r="C532" s="190"/>
      <c r="D532" s="190"/>
      <c r="E532" s="190"/>
      <c r="F532" s="209"/>
      <c r="G532" s="190"/>
      <c r="H532" s="190"/>
      <c r="I532" s="190"/>
      <c r="J532" s="190"/>
      <c r="K532" s="190"/>
      <c r="L532" s="190"/>
      <c r="M532" s="190"/>
      <c r="N532" s="190"/>
      <c r="O532" s="190"/>
      <c r="P532" s="190"/>
      <c r="Q532" s="190"/>
      <c r="R532" s="190"/>
      <c r="S532" s="190"/>
      <c r="T532" s="190"/>
      <c r="U532" s="190"/>
      <c r="V532" s="190"/>
      <c r="W532" s="190"/>
      <c r="X532" s="190"/>
      <c r="Y532" s="190"/>
      <c r="Z532" s="190"/>
    </row>
    <row r="533">
      <c r="A533" s="208"/>
      <c r="B533" s="190"/>
      <c r="C533" s="190"/>
      <c r="D533" s="190"/>
      <c r="E533" s="190"/>
      <c r="F533" s="209"/>
      <c r="G533" s="190"/>
      <c r="H533" s="190"/>
      <c r="I533" s="190"/>
      <c r="J533" s="190"/>
      <c r="K533" s="190"/>
      <c r="L533" s="190"/>
      <c r="M533" s="190"/>
      <c r="N533" s="190"/>
      <c r="O533" s="190"/>
      <c r="P533" s="190"/>
      <c r="Q533" s="190"/>
      <c r="R533" s="190"/>
      <c r="S533" s="190"/>
      <c r="T533" s="190"/>
      <c r="U533" s="190"/>
      <c r="V533" s="190"/>
      <c r="W533" s="190"/>
      <c r="X533" s="190"/>
      <c r="Y533" s="190"/>
      <c r="Z533" s="190"/>
    </row>
    <row r="534">
      <c r="A534" s="208"/>
      <c r="B534" s="190"/>
      <c r="C534" s="190"/>
      <c r="D534" s="190"/>
      <c r="E534" s="190"/>
      <c r="F534" s="209"/>
      <c r="G534" s="190"/>
      <c r="H534" s="190"/>
      <c r="I534" s="190"/>
      <c r="J534" s="190"/>
      <c r="K534" s="190"/>
      <c r="L534" s="190"/>
      <c r="M534" s="190"/>
      <c r="N534" s="190"/>
      <c r="O534" s="190"/>
      <c r="P534" s="190"/>
      <c r="Q534" s="190"/>
      <c r="R534" s="190"/>
      <c r="S534" s="190"/>
      <c r="T534" s="190"/>
      <c r="U534" s="190"/>
      <c r="V534" s="190"/>
      <c r="W534" s="190"/>
      <c r="X534" s="190"/>
      <c r="Y534" s="190"/>
      <c r="Z534" s="190"/>
    </row>
    <row r="535">
      <c r="A535" s="208"/>
      <c r="B535" s="190"/>
      <c r="C535" s="190"/>
      <c r="D535" s="190"/>
      <c r="E535" s="190"/>
      <c r="F535" s="209"/>
      <c r="G535" s="190"/>
      <c r="H535" s="190"/>
      <c r="I535" s="190"/>
      <c r="J535" s="190"/>
      <c r="K535" s="190"/>
      <c r="L535" s="190"/>
      <c r="M535" s="190"/>
      <c r="N535" s="190"/>
      <c r="O535" s="190"/>
      <c r="P535" s="190"/>
      <c r="Q535" s="190"/>
      <c r="R535" s="190"/>
      <c r="S535" s="190"/>
      <c r="T535" s="190"/>
      <c r="U535" s="190"/>
      <c r="V535" s="190"/>
      <c r="W535" s="190"/>
      <c r="X535" s="190"/>
      <c r="Y535" s="190"/>
      <c r="Z535" s="190"/>
    </row>
    <row r="536">
      <c r="A536" s="208"/>
      <c r="B536" s="190"/>
      <c r="C536" s="190"/>
      <c r="D536" s="190"/>
      <c r="E536" s="190"/>
      <c r="F536" s="209"/>
      <c r="G536" s="190"/>
      <c r="H536" s="190"/>
      <c r="I536" s="190"/>
      <c r="J536" s="190"/>
      <c r="K536" s="190"/>
      <c r="L536" s="190"/>
      <c r="M536" s="190"/>
      <c r="N536" s="190"/>
      <c r="O536" s="190"/>
      <c r="P536" s="190"/>
      <c r="Q536" s="190"/>
      <c r="R536" s="190"/>
      <c r="S536" s="190"/>
      <c r="T536" s="190"/>
      <c r="U536" s="190"/>
      <c r="V536" s="190"/>
      <c r="W536" s="190"/>
      <c r="X536" s="190"/>
      <c r="Y536" s="190"/>
      <c r="Z536" s="190"/>
    </row>
    <row r="537">
      <c r="A537" s="208"/>
      <c r="B537" s="190"/>
      <c r="C537" s="190"/>
      <c r="D537" s="190"/>
      <c r="E537" s="190"/>
      <c r="F537" s="209"/>
      <c r="G537" s="190"/>
      <c r="H537" s="190"/>
      <c r="I537" s="190"/>
      <c r="J537" s="190"/>
      <c r="K537" s="190"/>
      <c r="L537" s="190"/>
      <c r="M537" s="190"/>
      <c r="N537" s="190"/>
      <c r="O537" s="190"/>
      <c r="P537" s="190"/>
      <c r="Q537" s="190"/>
      <c r="R537" s="190"/>
      <c r="S537" s="190"/>
      <c r="T537" s="190"/>
      <c r="U537" s="190"/>
      <c r="V537" s="190"/>
      <c r="W537" s="190"/>
      <c r="X537" s="190"/>
      <c r="Y537" s="190"/>
      <c r="Z537" s="190"/>
    </row>
    <row r="538">
      <c r="A538" s="208"/>
      <c r="B538" s="190"/>
      <c r="C538" s="190"/>
      <c r="D538" s="190"/>
      <c r="E538" s="190"/>
      <c r="F538" s="209"/>
      <c r="G538" s="190"/>
      <c r="H538" s="190"/>
      <c r="I538" s="190"/>
      <c r="J538" s="190"/>
      <c r="K538" s="190"/>
      <c r="L538" s="190"/>
      <c r="M538" s="190"/>
      <c r="N538" s="190"/>
      <c r="O538" s="190"/>
      <c r="P538" s="190"/>
      <c r="Q538" s="190"/>
      <c r="R538" s="190"/>
      <c r="S538" s="190"/>
      <c r="T538" s="190"/>
      <c r="U538" s="190"/>
      <c r="V538" s="190"/>
      <c r="W538" s="190"/>
      <c r="X538" s="190"/>
      <c r="Y538" s="190"/>
      <c r="Z538" s="190"/>
    </row>
    <row r="539">
      <c r="A539" s="208"/>
      <c r="B539" s="190"/>
      <c r="C539" s="190"/>
      <c r="D539" s="190"/>
      <c r="E539" s="190"/>
      <c r="F539" s="209"/>
      <c r="G539" s="190"/>
      <c r="H539" s="190"/>
      <c r="I539" s="190"/>
      <c r="J539" s="190"/>
      <c r="K539" s="190"/>
      <c r="L539" s="190"/>
      <c r="M539" s="190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0"/>
    </row>
    <row r="540">
      <c r="A540" s="208"/>
      <c r="B540" s="190"/>
      <c r="C540" s="190"/>
      <c r="D540" s="190"/>
      <c r="E540" s="190"/>
      <c r="F540" s="209"/>
      <c r="G540" s="190"/>
      <c r="H540" s="190"/>
      <c r="I540" s="190"/>
      <c r="J540" s="190"/>
      <c r="K540" s="190"/>
      <c r="L540" s="190"/>
      <c r="M540" s="190"/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</row>
    <row r="541">
      <c r="A541" s="208"/>
      <c r="B541" s="190"/>
      <c r="C541" s="190"/>
      <c r="D541" s="190"/>
      <c r="E541" s="190"/>
      <c r="F541" s="209"/>
      <c r="G541" s="190"/>
      <c r="H541" s="190"/>
      <c r="I541" s="190"/>
      <c r="J541" s="190"/>
      <c r="K541" s="190"/>
      <c r="L541" s="190"/>
      <c r="M541" s="190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</row>
    <row r="542">
      <c r="A542" s="208"/>
      <c r="B542" s="190"/>
      <c r="C542" s="190"/>
      <c r="D542" s="190"/>
      <c r="E542" s="190"/>
      <c r="F542" s="209"/>
      <c r="G542" s="190"/>
      <c r="H542" s="190"/>
      <c r="I542" s="190"/>
      <c r="J542" s="190"/>
      <c r="K542" s="190"/>
      <c r="L542" s="190"/>
      <c r="M542" s="190"/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</row>
    <row r="543">
      <c r="A543" s="208"/>
      <c r="B543" s="190"/>
      <c r="C543" s="190"/>
      <c r="D543" s="190"/>
      <c r="E543" s="190"/>
      <c r="F543" s="209"/>
      <c r="G543" s="190"/>
      <c r="H543" s="190"/>
      <c r="I543" s="190"/>
      <c r="J543" s="190"/>
      <c r="K543" s="190"/>
      <c r="L543" s="190"/>
      <c r="M543" s="190"/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</row>
    <row r="544">
      <c r="A544" s="208"/>
      <c r="B544" s="190"/>
      <c r="C544" s="190"/>
      <c r="D544" s="190"/>
      <c r="E544" s="190"/>
      <c r="F544" s="209"/>
      <c r="G544" s="190"/>
      <c r="H544" s="190"/>
      <c r="I544" s="190"/>
      <c r="J544" s="190"/>
      <c r="K544" s="190"/>
      <c r="L544" s="190"/>
      <c r="M544" s="190"/>
      <c r="N544" s="190"/>
      <c r="O544" s="190"/>
      <c r="P544" s="190"/>
      <c r="Q544" s="190"/>
      <c r="R544" s="190"/>
      <c r="S544" s="190"/>
      <c r="T544" s="190"/>
      <c r="U544" s="190"/>
      <c r="V544" s="190"/>
      <c r="W544" s="190"/>
      <c r="X544" s="190"/>
      <c r="Y544" s="190"/>
      <c r="Z544" s="190"/>
    </row>
    <row r="545">
      <c r="A545" s="208"/>
      <c r="B545" s="190"/>
      <c r="C545" s="190"/>
      <c r="D545" s="190"/>
      <c r="E545" s="190"/>
      <c r="F545" s="209"/>
      <c r="G545" s="190"/>
      <c r="H545" s="190"/>
      <c r="I545" s="190"/>
      <c r="J545" s="190"/>
      <c r="K545" s="190"/>
      <c r="L545" s="190"/>
      <c r="M545" s="190"/>
      <c r="N545" s="190"/>
      <c r="O545" s="190"/>
      <c r="P545" s="190"/>
      <c r="Q545" s="190"/>
      <c r="R545" s="190"/>
      <c r="S545" s="190"/>
      <c r="T545" s="190"/>
      <c r="U545" s="190"/>
      <c r="V545" s="190"/>
      <c r="W545" s="190"/>
      <c r="X545" s="190"/>
      <c r="Y545" s="190"/>
      <c r="Z545" s="190"/>
    </row>
    <row r="546">
      <c r="A546" s="208"/>
      <c r="B546" s="190"/>
      <c r="C546" s="190"/>
      <c r="D546" s="190"/>
      <c r="E546" s="190"/>
      <c r="F546" s="209"/>
      <c r="G546" s="190"/>
      <c r="H546" s="190"/>
      <c r="I546" s="190"/>
      <c r="J546" s="190"/>
      <c r="K546" s="190"/>
      <c r="L546" s="190"/>
      <c r="M546" s="190"/>
      <c r="N546" s="190"/>
      <c r="O546" s="190"/>
      <c r="P546" s="190"/>
      <c r="Q546" s="190"/>
      <c r="R546" s="190"/>
      <c r="S546" s="190"/>
      <c r="T546" s="190"/>
      <c r="U546" s="190"/>
      <c r="V546" s="190"/>
      <c r="W546" s="190"/>
      <c r="X546" s="190"/>
      <c r="Y546" s="190"/>
      <c r="Z546" s="190"/>
    </row>
    <row r="547">
      <c r="A547" s="208"/>
      <c r="B547" s="190"/>
      <c r="C547" s="190"/>
      <c r="D547" s="190"/>
      <c r="E547" s="190"/>
      <c r="F547" s="209"/>
      <c r="G547" s="190"/>
      <c r="H547" s="190"/>
      <c r="I547" s="190"/>
      <c r="J547" s="190"/>
      <c r="K547" s="190"/>
      <c r="L547" s="190"/>
      <c r="M547" s="190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</row>
    <row r="548">
      <c r="A548" s="208"/>
      <c r="B548" s="190"/>
      <c r="C548" s="190"/>
      <c r="D548" s="190"/>
      <c r="E548" s="190"/>
      <c r="F548" s="209"/>
      <c r="G548" s="190"/>
      <c r="H548" s="190"/>
      <c r="I548" s="190"/>
      <c r="J548" s="190"/>
      <c r="K548" s="190"/>
      <c r="L548" s="190"/>
      <c r="M548" s="190"/>
      <c r="N548" s="190"/>
      <c r="O548" s="190"/>
      <c r="P548" s="190"/>
      <c r="Q548" s="190"/>
      <c r="R548" s="190"/>
      <c r="S548" s="190"/>
      <c r="T548" s="190"/>
      <c r="U548" s="190"/>
      <c r="V548" s="190"/>
      <c r="W548" s="190"/>
      <c r="X548" s="190"/>
      <c r="Y548" s="190"/>
      <c r="Z548" s="190"/>
    </row>
    <row r="549">
      <c r="A549" s="208"/>
      <c r="B549" s="190"/>
      <c r="C549" s="190"/>
      <c r="D549" s="190"/>
      <c r="E549" s="190"/>
      <c r="F549" s="209"/>
      <c r="G549" s="190"/>
      <c r="H549" s="190"/>
      <c r="I549" s="190"/>
      <c r="J549" s="190"/>
      <c r="K549" s="190"/>
      <c r="L549" s="190"/>
      <c r="M549" s="190"/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</row>
    <row r="550">
      <c r="A550" s="208"/>
      <c r="B550" s="190"/>
      <c r="C550" s="190"/>
      <c r="D550" s="190"/>
      <c r="E550" s="190"/>
      <c r="F550" s="209"/>
      <c r="G550" s="190"/>
      <c r="H550" s="190"/>
      <c r="I550" s="190"/>
      <c r="J550" s="190"/>
      <c r="K550" s="190"/>
      <c r="L550" s="190"/>
      <c r="M550" s="190"/>
      <c r="N550" s="190"/>
      <c r="O550" s="190"/>
      <c r="P550" s="190"/>
      <c r="Q550" s="190"/>
      <c r="R550" s="190"/>
      <c r="S550" s="190"/>
      <c r="T550" s="190"/>
      <c r="U550" s="190"/>
      <c r="V550" s="190"/>
      <c r="W550" s="190"/>
      <c r="X550" s="190"/>
      <c r="Y550" s="190"/>
      <c r="Z550" s="190"/>
    </row>
    <row r="551">
      <c r="A551" s="208"/>
      <c r="B551" s="190"/>
      <c r="C551" s="190"/>
      <c r="D551" s="190"/>
      <c r="E551" s="190"/>
      <c r="F551" s="209"/>
      <c r="G551" s="190"/>
      <c r="H551" s="190"/>
      <c r="I551" s="190"/>
      <c r="J551" s="190"/>
      <c r="K551" s="190"/>
      <c r="L551" s="190"/>
      <c r="M551" s="190"/>
      <c r="N551" s="190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</row>
    <row r="552">
      <c r="A552" s="208"/>
      <c r="B552" s="190"/>
      <c r="C552" s="190"/>
      <c r="D552" s="190"/>
      <c r="E552" s="190"/>
      <c r="F552" s="209"/>
      <c r="G552" s="190"/>
      <c r="H552" s="190"/>
      <c r="I552" s="190"/>
      <c r="J552" s="190"/>
      <c r="K552" s="190"/>
      <c r="L552" s="190"/>
      <c r="M552" s="190"/>
      <c r="N552" s="190"/>
      <c r="O552" s="190"/>
      <c r="P552" s="190"/>
      <c r="Q552" s="190"/>
      <c r="R552" s="190"/>
      <c r="S552" s="190"/>
      <c r="T552" s="190"/>
      <c r="U552" s="190"/>
      <c r="V552" s="190"/>
      <c r="W552" s="190"/>
      <c r="X552" s="190"/>
      <c r="Y552" s="190"/>
      <c r="Z552" s="190"/>
    </row>
    <row r="553">
      <c r="A553" s="208"/>
      <c r="B553" s="190"/>
      <c r="C553" s="190"/>
      <c r="D553" s="190"/>
      <c r="E553" s="190"/>
      <c r="F553" s="209"/>
      <c r="G553" s="190"/>
      <c r="H553" s="190"/>
      <c r="I553" s="190"/>
      <c r="J553" s="190"/>
      <c r="K553" s="190"/>
      <c r="L553" s="190"/>
      <c r="M553" s="190"/>
      <c r="N553" s="190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0"/>
    </row>
    <row r="554">
      <c r="A554" s="208"/>
      <c r="B554" s="190"/>
      <c r="C554" s="190"/>
      <c r="D554" s="190"/>
      <c r="E554" s="190"/>
      <c r="F554" s="209"/>
      <c r="G554" s="190"/>
      <c r="H554" s="190"/>
      <c r="I554" s="190"/>
      <c r="J554" s="190"/>
      <c r="K554" s="190"/>
      <c r="L554" s="190"/>
      <c r="M554" s="190"/>
      <c r="N554" s="190"/>
      <c r="O554" s="190"/>
      <c r="P554" s="190"/>
      <c r="Q554" s="190"/>
      <c r="R554" s="190"/>
      <c r="S554" s="190"/>
      <c r="T554" s="190"/>
      <c r="U554" s="190"/>
      <c r="V554" s="190"/>
      <c r="W554" s="190"/>
      <c r="X554" s="190"/>
      <c r="Y554" s="190"/>
      <c r="Z554" s="190"/>
    </row>
    <row r="555">
      <c r="A555" s="208"/>
      <c r="B555" s="190"/>
      <c r="C555" s="190"/>
      <c r="D555" s="190"/>
      <c r="E555" s="190"/>
      <c r="F555" s="209"/>
      <c r="G555" s="190"/>
      <c r="H555" s="190"/>
      <c r="I555" s="190"/>
      <c r="J555" s="190"/>
      <c r="K555" s="190"/>
      <c r="L555" s="190"/>
      <c r="M555" s="190"/>
      <c r="N555" s="190"/>
      <c r="O555" s="190"/>
      <c r="P555" s="190"/>
      <c r="Q555" s="190"/>
      <c r="R555" s="190"/>
      <c r="S555" s="190"/>
      <c r="T555" s="190"/>
      <c r="U555" s="190"/>
      <c r="V555" s="190"/>
      <c r="W555" s="190"/>
      <c r="X555" s="190"/>
      <c r="Y555" s="190"/>
      <c r="Z555" s="190"/>
    </row>
    <row r="556">
      <c r="A556" s="208"/>
      <c r="B556" s="190"/>
      <c r="C556" s="190"/>
      <c r="D556" s="190"/>
      <c r="E556" s="190"/>
      <c r="F556" s="209"/>
      <c r="G556" s="190"/>
      <c r="H556" s="190"/>
      <c r="I556" s="190"/>
      <c r="J556" s="190"/>
      <c r="K556" s="190"/>
      <c r="L556" s="190"/>
      <c r="M556" s="190"/>
      <c r="N556" s="190"/>
      <c r="O556" s="190"/>
      <c r="P556" s="190"/>
      <c r="Q556" s="190"/>
      <c r="R556" s="190"/>
      <c r="S556" s="190"/>
      <c r="T556" s="190"/>
      <c r="U556" s="190"/>
      <c r="V556" s="190"/>
      <c r="W556" s="190"/>
      <c r="X556" s="190"/>
      <c r="Y556" s="190"/>
      <c r="Z556" s="190"/>
    </row>
    <row r="557">
      <c r="A557" s="208"/>
      <c r="B557" s="190"/>
      <c r="C557" s="190"/>
      <c r="D557" s="190"/>
      <c r="E557" s="190"/>
      <c r="F557" s="209"/>
      <c r="G557" s="190"/>
      <c r="H557" s="190"/>
      <c r="I557" s="190"/>
      <c r="J557" s="190"/>
      <c r="K557" s="190"/>
      <c r="L557" s="190"/>
      <c r="M557" s="190"/>
      <c r="N557" s="190"/>
      <c r="O557" s="190"/>
      <c r="P557" s="190"/>
      <c r="Q557" s="190"/>
      <c r="R557" s="190"/>
      <c r="S557" s="190"/>
      <c r="T557" s="190"/>
      <c r="U557" s="190"/>
      <c r="V557" s="190"/>
      <c r="W557" s="190"/>
      <c r="X557" s="190"/>
      <c r="Y557" s="190"/>
      <c r="Z557" s="190"/>
    </row>
    <row r="558">
      <c r="A558" s="208"/>
      <c r="B558" s="190"/>
      <c r="C558" s="190"/>
      <c r="D558" s="190"/>
      <c r="E558" s="190"/>
      <c r="F558" s="209"/>
      <c r="G558" s="190"/>
      <c r="H558" s="190"/>
      <c r="I558" s="190"/>
      <c r="J558" s="190"/>
      <c r="K558" s="190"/>
      <c r="L558" s="190"/>
      <c r="M558" s="190"/>
      <c r="N558" s="190"/>
      <c r="O558" s="190"/>
      <c r="P558" s="190"/>
      <c r="Q558" s="190"/>
      <c r="R558" s="190"/>
      <c r="S558" s="190"/>
      <c r="T558" s="190"/>
      <c r="U558" s="190"/>
      <c r="V558" s="190"/>
      <c r="W558" s="190"/>
      <c r="X558" s="190"/>
      <c r="Y558" s="190"/>
      <c r="Z558" s="190"/>
    </row>
    <row r="559">
      <c r="A559" s="208"/>
      <c r="B559" s="190"/>
      <c r="C559" s="190"/>
      <c r="D559" s="190"/>
      <c r="E559" s="190"/>
      <c r="F559" s="209"/>
      <c r="G559" s="190"/>
      <c r="H559" s="190"/>
      <c r="I559" s="190"/>
      <c r="J559" s="190"/>
      <c r="K559" s="190"/>
      <c r="L559" s="190"/>
      <c r="M559" s="190"/>
      <c r="N559" s="190"/>
      <c r="O559" s="190"/>
      <c r="P559" s="190"/>
      <c r="Q559" s="190"/>
      <c r="R559" s="190"/>
      <c r="S559" s="190"/>
      <c r="T559" s="190"/>
      <c r="U559" s="190"/>
      <c r="V559" s="190"/>
      <c r="W559" s="190"/>
      <c r="X559" s="190"/>
      <c r="Y559" s="190"/>
      <c r="Z559" s="190"/>
    </row>
    <row r="560">
      <c r="A560" s="208"/>
      <c r="B560" s="190"/>
      <c r="C560" s="190"/>
      <c r="D560" s="190"/>
      <c r="E560" s="190"/>
      <c r="F560" s="209"/>
      <c r="G560" s="190"/>
      <c r="H560" s="190"/>
      <c r="I560" s="190"/>
      <c r="J560" s="190"/>
      <c r="K560" s="190"/>
      <c r="L560" s="190"/>
      <c r="M560" s="190"/>
      <c r="N560" s="190"/>
      <c r="O560" s="190"/>
      <c r="P560" s="190"/>
      <c r="Q560" s="190"/>
      <c r="R560" s="190"/>
      <c r="S560" s="190"/>
      <c r="T560" s="190"/>
      <c r="U560" s="190"/>
      <c r="V560" s="190"/>
      <c r="W560" s="190"/>
      <c r="X560" s="190"/>
      <c r="Y560" s="190"/>
      <c r="Z560" s="190"/>
    </row>
    <row r="561">
      <c r="A561" s="208"/>
      <c r="B561" s="190"/>
      <c r="C561" s="190"/>
      <c r="D561" s="190"/>
      <c r="E561" s="190"/>
      <c r="F561" s="209"/>
      <c r="G561" s="190"/>
      <c r="H561" s="190"/>
      <c r="I561" s="190"/>
      <c r="J561" s="190"/>
      <c r="K561" s="190"/>
      <c r="L561" s="190"/>
      <c r="M561" s="190"/>
      <c r="N561" s="190"/>
      <c r="O561" s="190"/>
      <c r="P561" s="190"/>
      <c r="Q561" s="190"/>
      <c r="R561" s="190"/>
      <c r="S561" s="190"/>
      <c r="T561" s="190"/>
      <c r="U561" s="190"/>
      <c r="V561" s="190"/>
      <c r="W561" s="190"/>
      <c r="X561" s="190"/>
      <c r="Y561" s="190"/>
      <c r="Z561" s="190"/>
    </row>
    <row r="562">
      <c r="A562" s="208"/>
      <c r="B562" s="190"/>
      <c r="C562" s="190"/>
      <c r="D562" s="190"/>
      <c r="E562" s="190"/>
      <c r="F562" s="209"/>
      <c r="G562" s="190"/>
      <c r="H562" s="190"/>
      <c r="I562" s="190"/>
      <c r="J562" s="190"/>
      <c r="K562" s="190"/>
      <c r="L562" s="190"/>
      <c r="M562" s="190"/>
      <c r="N562" s="190"/>
      <c r="O562" s="190"/>
      <c r="P562" s="190"/>
      <c r="Q562" s="190"/>
      <c r="R562" s="190"/>
      <c r="S562" s="190"/>
      <c r="T562" s="190"/>
      <c r="U562" s="190"/>
      <c r="V562" s="190"/>
      <c r="W562" s="190"/>
      <c r="X562" s="190"/>
      <c r="Y562" s="190"/>
      <c r="Z562" s="190"/>
    </row>
    <row r="563">
      <c r="A563" s="208"/>
      <c r="B563" s="190"/>
      <c r="C563" s="190"/>
      <c r="D563" s="190"/>
      <c r="E563" s="190"/>
      <c r="F563" s="209"/>
      <c r="G563" s="190"/>
      <c r="H563" s="190"/>
      <c r="I563" s="190"/>
      <c r="J563" s="190"/>
      <c r="K563" s="190"/>
      <c r="L563" s="190"/>
      <c r="M563" s="190"/>
      <c r="N563" s="190"/>
      <c r="O563" s="190"/>
      <c r="P563" s="190"/>
      <c r="Q563" s="190"/>
      <c r="R563" s="190"/>
      <c r="S563" s="190"/>
      <c r="T563" s="190"/>
      <c r="U563" s="190"/>
      <c r="V563" s="190"/>
      <c r="W563" s="190"/>
      <c r="X563" s="190"/>
      <c r="Y563" s="190"/>
      <c r="Z563" s="190"/>
    </row>
    <row r="564">
      <c r="A564" s="208"/>
      <c r="B564" s="190"/>
      <c r="C564" s="190"/>
      <c r="D564" s="190"/>
      <c r="E564" s="190"/>
      <c r="F564" s="209"/>
      <c r="G564" s="190"/>
      <c r="H564" s="190"/>
      <c r="I564" s="190"/>
      <c r="J564" s="190"/>
      <c r="K564" s="190"/>
      <c r="L564" s="190"/>
      <c r="M564" s="190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</row>
    <row r="565">
      <c r="A565" s="208"/>
      <c r="B565" s="190"/>
      <c r="C565" s="190"/>
      <c r="D565" s="190"/>
      <c r="E565" s="190"/>
      <c r="F565" s="209"/>
      <c r="G565" s="190"/>
      <c r="H565" s="190"/>
      <c r="I565" s="190"/>
      <c r="J565" s="190"/>
      <c r="K565" s="190"/>
      <c r="L565" s="190"/>
      <c r="M565" s="190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</row>
    <row r="566">
      <c r="A566" s="208"/>
      <c r="B566" s="190"/>
      <c r="C566" s="190"/>
      <c r="D566" s="190"/>
      <c r="E566" s="190"/>
      <c r="F566" s="209"/>
      <c r="G566" s="190"/>
      <c r="H566" s="190"/>
      <c r="I566" s="190"/>
      <c r="J566" s="190"/>
      <c r="K566" s="190"/>
      <c r="L566" s="190"/>
      <c r="M566" s="190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</row>
    <row r="567">
      <c r="A567" s="208"/>
      <c r="B567" s="190"/>
      <c r="C567" s="190"/>
      <c r="D567" s="190"/>
      <c r="E567" s="190"/>
      <c r="F567" s="209"/>
      <c r="G567" s="190"/>
      <c r="H567" s="190"/>
      <c r="I567" s="190"/>
      <c r="J567" s="190"/>
      <c r="K567" s="190"/>
      <c r="L567" s="190"/>
      <c r="M567" s="190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</row>
    <row r="568">
      <c r="A568" s="208"/>
      <c r="B568" s="190"/>
      <c r="C568" s="190"/>
      <c r="D568" s="190"/>
      <c r="E568" s="190"/>
      <c r="F568" s="209"/>
      <c r="G568" s="190"/>
      <c r="H568" s="190"/>
      <c r="I568" s="190"/>
      <c r="J568" s="190"/>
      <c r="K568" s="190"/>
      <c r="L568" s="190"/>
      <c r="M568" s="190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</row>
    <row r="569">
      <c r="A569" s="208"/>
      <c r="B569" s="190"/>
      <c r="C569" s="190"/>
      <c r="D569" s="190"/>
      <c r="E569" s="190"/>
      <c r="F569" s="209"/>
      <c r="G569" s="190"/>
      <c r="H569" s="190"/>
      <c r="I569" s="190"/>
      <c r="J569" s="190"/>
      <c r="K569" s="190"/>
      <c r="L569" s="190"/>
      <c r="M569" s="190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</row>
    <row r="570">
      <c r="A570" s="208"/>
      <c r="B570" s="190"/>
      <c r="C570" s="190"/>
      <c r="D570" s="190"/>
      <c r="E570" s="190"/>
      <c r="F570" s="209"/>
      <c r="G570" s="190"/>
      <c r="H570" s="190"/>
      <c r="I570" s="190"/>
      <c r="J570" s="190"/>
      <c r="K570" s="190"/>
      <c r="L570" s="190"/>
      <c r="M570" s="190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</row>
    <row r="571">
      <c r="A571" s="208"/>
      <c r="B571" s="190"/>
      <c r="C571" s="190"/>
      <c r="D571" s="190"/>
      <c r="E571" s="190"/>
      <c r="F571" s="209"/>
      <c r="G571" s="190"/>
      <c r="H571" s="190"/>
      <c r="I571" s="190"/>
      <c r="J571" s="190"/>
      <c r="K571" s="190"/>
      <c r="L571" s="190"/>
      <c r="M571" s="190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</row>
    <row r="572">
      <c r="A572" s="208"/>
      <c r="B572" s="190"/>
      <c r="C572" s="190"/>
      <c r="D572" s="190"/>
      <c r="E572" s="190"/>
      <c r="F572" s="209"/>
      <c r="G572" s="190"/>
      <c r="H572" s="190"/>
      <c r="I572" s="190"/>
      <c r="J572" s="190"/>
      <c r="K572" s="190"/>
      <c r="L572" s="190"/>
      <c r="M572" s="190"/>
      <c r="N572" s="190"/>
      <c r="O572" s="190"/>
      <c r="P572" s="190"/>
      <c r="Q572" s="190"/>
      <c r="R572" s="190"/>
      <c r="S572" s="190"/>
      <c r="T572" s="190"/>
      <c r="U572" s="190"/>
      <c r="V572" s="190"/>
      <c r="W572" s="190"/>
      <c r="X572" s="190"/>
      <c r="Y572" s="190"/>
      <c r="Z572" s="190"/>
    </row>
    <row r="573">
      <c r="A573" s="208"/>
      <c r="B573" s="190"/>
      <c r="C573" s="190"/>
      <c r="D573" s="190"/>
      <c r="E573" s="190"/>
      <c r="F573" s="209"/>
      <c r="G573" s="190"/>
      <c r="H573" s="190"/>
      <c r="I573" s="190"/>
      <c r="J573" s="190"/>
      <c r="K573" s="190"/>
      <c r="L573" s="190"/>
      <c r="M573" s="190"/>
      <c r="N573" s="190"/>
      <c r="O573" s="190"/>
      <c r="P573" s="190"/>
      <c r="Q573" s="190"/>
      <c r="R573" s="190"/>
      <c r="S573" s="190"/>
      <c r="T573" s="190"/>
      <c r="U573" s="190"/>
      <c r="V573" s="190"/>
      <c r="W573" s="190"/>
      <c r="X573" s="190"/>
      <c r="Y573" s="190"/>
      <c r="Z573" s="190"/>
    </row>
    <row r="574">
      <c r="A574" s="208"/>
      <c r="B574" s="190"/>
      <c r="C574" s="190"/>
      <c r="D574" s="190"/>
      <c r="E574" s="190"/>
      <c r="F574" s="209"/>
      <c r="G574" s="190"/>
      <c r="H574" s="190"/>
      <c r="I574" s="190"/>
      <c r="J574" s="190"/>
      <c r="K574" s="190"/>
      <c r="L574" s="190"/>
      <c r="M574" s="190"/>
      <c r="N574" s="190"/>
      <c r="O574" s="190"/>
      <c r="P574" s="190"/>
      <c r="Q574" s="190"/>
      <c r="R574" s="190"/>
      <c r="S574" s="190"/>
      <c r="T574" s="190"/>
      <c r="U574" s="190"/>
      <c r="V574" s="190"/>
      <c r="W574" s="190"/>
      <c r="X574" s="190"/>
      <c r="Y574" s="190"/>
      <c r="Z574" s="190"/>
    </row>
    <row r="575">
      <c r="A575" s="208"/>
      <c r="B575" s="190"/>
      <c r="C575" s="190"/>
      <c r="D575" s="190"/>
      <c r="E575" s="190"/>
      <c r="F575" s="209"/>
      <c r="G575" s="190"/>
      <c r="H575" s="190"/>
      <c r="I575" s="190"/>
      <c r="J575" s="190"/>
      <c r="K575" s="190"/>
      <c r="L575" s="190"/>
      <c r="M575" s="190"/>
      <c r="N575" s="190"/>
      <c r="O575" s="190"/>
      <c r="P575" s="190"/>
      <c r="Q575" s="190"/>
      <c r="R575" s="190"/>
      <c r="S575" s="190"/>
      <c r="T575" s="190"/>
      <c r="U575" s="190"/>
      <c r="V575" s="190"/>
      <c r="W575" s="190"/>
      <c r="X575" s="190"/>
      <c r="Y575" s="190"/>
      <c r="Z575" s="190"/>
    </row>
    <row r="576">
      <c r="A576" s="208"/>
      <c r="B576" s="190"/>
      <c r="C576" s="190"/>
      <c r="D576" s="190"/>
      <c r="E576" s="190"/>
      <c r="F576" s="209"/>
      <c r="G576" s="190"/>
      <c r="H576" s="190"/>
      <c r="I576" s="190"/>
      <c r="J576" s="190"/>
      <c r="K576" s="190"/>
      <c r="L576" s="190"/>
      <c r="M576" s="190"/>
      <c r="N576" s="190"/>
      <c r="O576" s="190"/>
      <c r="P576" s="190"/>
      <c r="Q576" s="190"/>
      <c r="R576" s="190"/>
      <c r="S576" s="190"/>
      <c r="T576" s="190"/>
      <c r="U576" s="190"/>
      <c r="V576" s="190"/>
      <c r="W576" s="190"/>
      <c r="X576" s="190"/>
      <c r="Y576" s="190"/>
      <c r="Z576" s="190"/>
    </row>
    <row r="577">
      <c r="A577" s="208"/>
      <c r="B577" s="190"/>
      <c r="C577" s="190"/>
      <c r="D577" s="190"/>
      <c r="E577" s="190"/>
      <c r="F577" s="209"/>
      <c r="G577" s="190"/>
      <c r="H577" s="190"/>
      <c r="I577" s="190"/>
      <c r="J577" s="190"/>
      <c r="K577" s="190"/>
      <c r="L577" s="190"/>
      <c r="M577" s="190"/>
      <c r="N577" s="190"/>
      <c r="O577" s="190"/>
      <c r="P577" s="190"/>
      <c r="Q577" s="190"/>
      <c r="R577" s="190"/>
      <c r="S577" s="190"/>
      <c r="T577" s="190"/>
      <c r="U577" s="190"/>
      <c r="V577" s="190"/>
      <c r="W577" s="190"/>
      <c r="X577" s="190"/>
      <c r="Y577" s="190"/>
      <c r="Z577" s="190"/>
    </row>
    <row r="578">
      <c r="A578" s="208"/>
      <c r="B578" s="190"/>
      <c r="C578" s="190"/>
      <c r="D578" s="190"/>
      <c r="E578" s="190"/>
      <c r="F578" s="209"/>
      <c r="G578" s="190"/>
      <c r="H578" s="190"/>
      <c r="I578" s="190"/>
      <c r="J578" s="190"/>
      <c r="K578" s="190"/>
      <c r="L578" s="190"/>
      <c r="M578" s="190"/>
      <c r="N578" s="190"/>
      <c r="O578" s="190"/>
      <c r="P578" s="190"/>
      <c r="Q578" s="190"/>
      <c r="R578" s="190"/>
      <c r="S578" s="190"/>
      <c r="T578" s="190"/>
      <c r="U578" s="190"/>
      <c r="V578" s="190"/>
      <c r="W578" s="190"/>
      <c r="X578" s="190"/>
      <c r="Y578" s="190"/>
      <c r="Z578" s="190"/>
    </row>
    <row r="579">
      <c r="A579" s="208"/>
      <c r="B579" s="190"/>
      <c r="C579" s="190"/>
      <c r="D579" s="190"/>
      <c r="E579" s="190"/>
      <c r="F579" s="209"/>
      <c r="G579" s="190"/>
      <c r="H579" s="190"/>
      <c r="I579" s="190"/>
      <c r="J579" s="190"/>
      <c r="K579" s="190"/>
      <c r="L579" s="190"/>
      <c r="M579" s="190"/>
      <c r="N579" s="190"/>
      <c r="O579" s="190"/>
      <c r="P579" s="190"/>
      <c r="Q579" s="190"/>
      <c r="R579" s="190"/>
      <c r="S579" s="190"/>
      <c r="T579" s="190"/>
      <c r="U579" s="190"/>
      <c r="V579" s="190"/>
      <c r="W579" s="190"/>
      <c r="X579" s="190"/>
      <c r="Y579" s="190"/>
      <c r="Z579" s="190"/>
    </row>
    <row r="580">
      <c r="A580" s="208"/>
      <c r="B580" s="190"/>
      <c r="C580" s="190"/>
      <c r="D580" s="190"/>
      <c r="E580" s="190"/>
      <c r="F580" s="209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</row>
    <row r="581">
      <c r="A581" s="208"/>
      <c r="B581" s="190"/>
      <c r="C581" s="190"/>
      <c r="D581" s="190"/>
      <c r="E581" s="190"/>
      <c r="F581" s="209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</row>
    <row r="582">
      <c r="A582" s="208"/>
      <c r="B582" s="190"/>
      <c r="C582" s="190"/>
      <c r="D582" s="190"/>
      <c r="E582" s="190"/>
      <c r="F582" s="209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</row>
    <row r="583">
      <c r="A583" s="208"/>
      <c r="B583" s="190"/>
      <c r="C583" s="190"/>
      <c r="D583" s="190"/>
      <c r="E583" s="190"/>
      <c r="F583" s="209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</row>
    <row r="584">
      <c r="A584" s="208"/>
      <c r="B584" s="190"/>
      <c r="C584" s="190"/>
      <c r="D584" s="190"/>
      <c r="E584" s="190"/>
      <c r="F584" s="209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</row>
    <row r="585">
      <c r="A585" s="208"/>
      <c r="B585" s="190"/>
      <c r="C585" s="190"/>
      <c r="D585" s="190"/>
      <c r="E585" s="190"/>
      <c r="F585" s="209"/>
      <c r="G585" s="190"/>
      <c r="H585" s="190"/>
      <c r="I585" s="190"/>
      <c r="J585" s="190"/>
      <c r="K585" s="190"/>
      <c r="L585" s="190"/>
      <c r="M585" s="190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</row>
    <row r="586">
      <c r="A586" s="208"/>
      <c r="B586" s="190"/>
      <c r="C586" s="190"/>
      <c r="D586" s="190"/>
      <c r="E586" s="190"/>
      <c r="F586" s="209"/>
      <c r="G586" s="190"/>
      <c r="H586" s="190"/>
      <c r="I586" s="190"/>
      <c r="J586" s="190"/>
      <c r="K586" s="190"/>
      <c r="L586" s="190"/>
      <c r="M586" s="190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0"/>
      <c r="Z586" s="190"/>
    </row>
    <row r="587">
      <c r="A587" s="208"/>
      <c r="B587" s="190"/>
      <c r="C587" s="190"/>
      <c r="D587" s="190"/>
      <c r="E587" s="190"/>
      <c r="F587" s="209"/>
      <c r="G587" s="190"/>
      <c r="H587" s="190"/>
      <c r="I587" s="190"/>
      <c r="J587" s="190"/>
      <c r="K587" s="190"/>
      <c r="L587" s="190"/>
      <c r="M587" s="190"/>
      <c r="N587" s="190"/>
      <c r="O587" s="190"/>
      <c r="P587" s="190"/>
      <c r="Q587" s="190"/>
      <c r="R587" s="190"/>
      <c r="S587" s="190"/>
      <c r="T587" s="190"/>
      <c r="U587" s="190"/>
      <c r="V587" s="190"/>
      <c r="W587" s="190"/>
      <c r="X587" s="190"/>
      <c r="Y587" s="190"/>
      <c r="Z587" s="190"/>
    </row>
    <row r="588">
      <c r="A588" s="208"/>
      <c r="B588" s="190"/>
      <c r="C588" s="190"/>
      <c r="D588" s="190"/>
      <c r="E588" s="190"/>
      <c r="F588" s="209"/>
      <c r="G588" s="190"/>
      <c r="H588" s="190"/>
      <c r="I588" s="190"/>
      <c r="J588" s="190"/>
      <c r="K588" s="190"/>
      <c r="L588" s="190"/>
      <c r="M588" s="190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0"/>
      <c r="Z588" s="190"/>
    </row>
    <row r="589">
      <c r="A589" s="208"/>
      <c r="B589" s="190"/>
      <c r="C589" s="190"/>
      <c r="D589" s="190"/>
      <c r="E589" s="190"/>
      <c r="F589" s="209"/>
      <c r="G589" s="190"/>
      <c r="H589" s="190"/>
      <c r="I589" s="190"/>
      <c r="J589" s="190"/>
      <c r="K589" s="190"/>
      <c r="L589" s="190"/>
      <c r="M589" s="190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0"/>
      <c r="Z589" s="190"/>
    </row>
    <row r="590">
      <c r="A590" s="208"/>
      <c r="B590" s="190"/>
      <c r="C590" s="190"/>
      <c r="D590" s="190"/>
      <c r="E590" s="190"/>
      <c r="F590" s="209"/>
      <c r="G590" s="190"/>
      <c r="H590" s="190"/>
      <c r="I590" s="190"/>
      <c r="J590" s="190"/>
      <c r="K590" s="190"/>
      <c r="L590" s="190"/>
      <c r="M590" s="190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0"/>
      <c r="Z590" s="190"/>
    </row>
    <row r="591">
      <c r="A591" s="208"/>
      <c r="B591" s="190"/>
      <c r="C591" s="190"/>
      <c r="D591" s="190"/>
      <c r="E591" s="190"/>
      <c r="F591" s="209"/>
      <c r="G591" s="190"/>
      <c r="H591" s="190"/>
      <c r="I591" s="190"/>
      <c r="J591" s="190"/>
      <c r="K591" s="190"/>
      <c r="L591" s="190"/>
      <c r="M591" s="190"/>
      <c r="N591" s="190"/>
      <c r="O591" s="190"/>
      <c r="P591" s="190"/>
      <c r="Q591" s="190"/>
      <c r="R591" s="190"/>
      <c r="S591" s="190"/>
      <c r="T591" s="190"/>
      <c r="U591" s="190"/>
      <c r="V591" s="190"/>
      <c r="W591" s="190"/>
      <c r="X591" s="190"/>
      <c r="Y591" s="190"/>
      <c r="Z591" s="190"/>
    </row>
    <row r="592">
      <c r="A592" s="208"/>
      <c r="B592" s="190"/>
      <c r="C592" s="190"/>
      <c r="D592" s="190"/>
      <c r="E592" s="190"/>
      <c r="F592" s="209"/>
      <c r="G592" s="190"/>
      <c r="H592" s="190"/>
      <c r="I592" s="190"/>
      <c r="J592" s="190"/>
      <c r="K592" s="190"/>
      <c r="L592" s="190"/>
      <c r="M592" s="190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0"/>
      <c r="Z592" s="190"/>
    </row>
    <row r="593">
      <c r="A593" s="208"/>
      <c r="B593" s="190"/>
      <c r="C593" s="190"/>
      <c r="D593" s="190"/>
      <c r="E593" s="190"/>
      <c r="F593" s="209"/>
      <c r="G593" s="190"/>
      <c r="H593" s="190"/>
      <c r="I593" s="190"/>
      <c r="J593" s="190"/>
      <c r="K593" s="190"/>
      <c r="L593" s="190"/>
      <c r="M593" s="190"/>
      <c r="N593" s="190"/>
      <c r="O593" s="190"/>
      <c r="P593" s="190"/>
      <c r="Q593" s="190"/>
      <c r="R593" s="190"/>
      <c r="S593" s="190"/>
      <c r="T593" s="190"/>
      <c r="U593" s="190"/>
      <c r="V593" s="190"/>
      <c r="W593" s="190"/>
      <c r="X593" s="190"/>
      <c r="Y593" s="190"/>
      <c r="Z593" s="190"/>
    </row>
    <row r="594">
      <c r="A594" s="208"/>
      <c r="B594" s="190"/>
      <c r="C594" s="190"/>
      <c r="D594" s="190"/>
      <c r="E594" s="190"/>
      <c r="F594" s="209"/>
      <c r="G594" s="190"/>
      <c r="H594" s="190"/>
      <c r="I594" s="190"/>
      <c r="J594" s="190"/>
      <c r="K594" s="190"/>
      <c r="L594" s="190"/>
      <c r="M594" s="190"/>
      <c r="N594" s="190"/>
      <c r="O594" s="190"/>
      <c r="P594" s="190"/>
      <c r="Q594" s="190"/>
      <c r="R594" s="190"/>
      <c r="S594" s="190"/>
      <c r="T594" s="190"/>
      <c r="U594" s="190"/>
      <c r="V594" s="190"/>
      <c r="W594" s="190"/>
      <c r="X594" s="190"/>
      <c r="Y594" s="190"/>
      <c r="Z594" s="190"/>
    </row>
    <row r="595">
      <c r="A595" s="208"/>
      <c r="B595" s="190"/>
      <c r="C595" s="190"/>
      <c r="D595" s="190"/>
      <c r="E595" s="190"/>
      <c r="F595" s="209"/>
      <c r="G595" s="190"/>
      <c r="H595" s="190"/>
      <c r="I595" s="190"/>
      <c r="J595" s="190"/>
      <c r="K595" s="190"/>
      <c r="L595" s="190"/>
      <c r="M595" s="190"/>
      <c r="N595" s="190"/>
      <c r="O595" s="190"/>
      <c r="P595" s="190"/>
      <c r="Q595" s="190"/>
      <c r="R595" s="190"/>
      <c r="S595" s="190"/>
      <c r="T595" s="190"/>
      <c r="U595" s="190"/>
      <c r="V595" s="190"/>
      <c r="W595" s="190"/>
      <c r="X595" s="190"/>
      <c r="Y595" s="190"/>
      <c r="Z595" s="190"/>
    </row>
    <row r="596">
      <c r="A596" s="208"/>
      <c r="B596" s="190"/>
      <c r="C596" s="190"/>
      <c r="D596" s="190"/>
      <c r="E596" s="190"/>
      <c r="F596" s="209"/>
      <c r="G596" s="190"/>
      <c r="H596" s="190"/>
      <c r="I596" s="190"/>
      <c r="J596" s="190"/>
      <c r="K596" s="190"/>
      <c r="L596" s="190"/>
      <c r="M596" s="190"/>
      <c r="N596" s="190"/>
      <c r="O596" s="190"/>
      <c r="P596" s="190"/>
      <c r="Q596" s="190"/>
      <c r="R596" s="190"/>
      <c r="S596" s="190"/>
      <c r="T596" s="190"/>
      <c r="U596" s="190"/>
      <c r="V596" s="190"/>
      <c r="W596" s="190"/>
      <c r="X596" s="190"/>
      <c r="Y596" s="190"/>
      <c r="Z596" s="190"/>
    </row>
    <row r="597">
      <c r="A597" s="208"/>
      <c r="B597" s="190"/>
      <c r="C597" s="190"/>
      <c r="D597" s="190"/>
      <c r="E597" s="190"/>
      <c r="F597" s="209"/>
      <c r="G597" s="190"/>
      <c r="H597" s="190"/>
      <c r="I597" s="190"/>
      <c r="J597" s="190"/>
      <c r="K597" s="190"/>
      <c r="L597" s="190"/>
      <c r="M597" s="190"/>
      <c r="N597" s="190"/>
      <c r="O597" s="190"/>
      <c r="P597" s="190"/>
      <c r="Q597" s="190"/>
      <c r="R597" s="190"/>
      <c r="S597" s="190"/>
      <c r="T597" s="190"/>
      <c r="U597" s="190"/>
      <c r="V597" s="190"/>
      <c r="W597" s="190"/>
      <c r="X597" s="190"/>
      <c r="Y597" s="190"/>
      <c r="Z597" s="190"/>
    </row>
    <row r="598">
      <c r="A598" s="208"/>
      <c r="B598" s="190"/>
      <c r="C598" s="190"/>
      <c r="D598" s="190"/>
      <c r="E598" s="190"/>
      <c r="F598" s="209"/>
      <c r="G598" s="190"/>
      <c r="H598" s="190"/>
      <c r="I598" s="190"/>
      <c r="J598" s="190"/>
      <c r="K598" s="190"/>
      <c r="L598" s="190"/>
      <c r="M598" s="190"/>
      <c r="N598" s="190"/>
      <c r="O598" s="190"/>
      <c r="P598" s="190"/>
      <c r="Q598" s="190"/>
      <c r="R598" s="190"/>
      <c r="S598" s="190"/>
      <c r="T598" s="190"/>
      <c r="U598" s="190"/>
      <c r="V598" s="190"/>
      <c r="W598" s="190"/>
      <c r="X598" s="190"/>
      <c r="Y598" s="190"/>
      <c r="Z598" s="190"/>
    </row>
    <row r="599">
      <c r="A599" s="208"/>
      <c r="B599" s="190"/>
      <c r="C599" s="190"/>
      <c r="D599" s="190"/>
      <c r="E599" s="190"/>
      <c r="F599" s="209"/>
      <c r="G599" s="190"/>
      <c r="H599" s="190"/>
      <c r="I599" s="190"/>
      <c r="J599" s="190"/>
      <c r="K599" s="190"/>
      <c r="L599" s="190"/>
      <c r="M599" s="190"/>
      <c r="N599" s="190"/>
      <c r="O599" s="190"/>
      <c r="P599" s="190"/>
      <c r="Q599" s="190"/>
      <c r="R599" s="190"/>
      <c r="S599" s="190"/>
      <c r="T599" s="190"/>
      <c r="U599" s="190"/>
      <c r="V599" s="190"/>
      <c r="W599" s="190"/>
      <c r="X599" s="190"/>
      <c r="Y599" s="190"/>
      <c r="Z599" s="190"/>
    </row>
    <row r="600">
      <c r="A600" s="208"/>
      <c r="B600" s="190"/>
      <c r="C600" s="190"/>
      <c r="D600" s="190"/>
      <c r="E600" s="190"/>
      <c r="F600" s="209"/>
      <c r="G600" s="190"/>
      <c r="H600" s="190"/>
      <c r="I600" s="190"/>
      <c r="J600" s="190"/>
      <c r="K600" s="190"/>
      <c r="L600" s="190"/>
      <c r="M600" s="190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</row>
    <row r="601">
      <c r="A601" s="208"/>
      <c r="B601" s="190"/>
      <c r="C601" s="190"/>
      <c r="D601" s="190"/>
      <c r="E601" s="190"/>
      <c r="F601" s="209"/>
      <c r="G601" s="190"/>
      <c r="H601" s="190"/>
      <c r="I601" s="190"/>
      <c r="J601" s="190"/>
      <c r="K601" s="190"/>
      <c r="L601" s="190"/>
      <c r="M601" s="190"/>
      <c r="N601" s="190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0"/>
      <c r="Z601" s="190"/>
    </row>
    <row r="602">
      <c r="A602" s="208"/>
      <c r="B602" s="190"/>
      <c r="C602" s="190"/>
      <c r="D602" s="190"/>
      <c r="E602" s="190"/>
      <c r="F602" s="209"/>
      <c r="G602" s="190"/>
      <c r="H602" s="190"/>
      <c r="I602" s="190"/>
      <c r="J602" s="190"/>
      <c r="K602" s="190"/>
      <c r="L602" s="190"/>
      <c r="M602" s="190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</row>
    <row r="603">
      <c r="A603" s="208"/>
      <c r="B603" s="190"/>
      <c r="C603" s="190"/>
      <c r="D603" s="190"/>
      <c r="E603" s="190"/>
      <c r="F603" s="209"/>
      <c r="G603" s="190"/>
      <c r="H603" s="190"/>
      <c r="I603" s="190"/>
      <c r="J603" s="190"/>
      <c r="K603" s="190"/>
      <c r="L603" s="190"/>
      <c r="M603" s="190"/>
      <c r="N603" s="190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0"/>
      <c r="Z603" s="190"/>
    </row>
    <row r="604">
      <c r="A604" s="208"/>
      <c r="B604" s="190"/>
      <c r="C604" s="190"/>
      <c r="D604" s="190"/>
      <c r="E604" s="190"/>
      <c r="F604" s="209"/>
      <c r="G604" s="190"/>
      <c r="H604" s="190"/>
      <c r="I604" s="190"/>
      <c r="J604" s="190"/>
      <c r="K604" s="190"/>
      <c r="L604" s="190"/>
      <c r="M604" s="190"/>
      <c r="N604" s="190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</row>
    <row r="605">
      <c r="A605" s="208"/>
      <c r="B605" s="190"/>
      <c r="C605" s="190"/>
      <c r="D605" s="190"/>
      <c r="E605" s="190"/>
      <c r="F605" s="209"/>
      <c r="G605" s="190"/>
      <c r="H605" s="190"/>
      <c r="I605" s="190"/>
      <c r="J605" s="190"/>
      <c r="K605" s="190"/>
      <c r="L605" s="190"/>
      <c r="M605" s="190"/>
      <c r="N605" s="190"/>
      <c r="O605" s="190"/>
      <c r="P605" s="190"/>
      <c r="Q605" s="190"/>
      <c r="R605" s="190"/>
      <c r="S605" s="190"/>
      <c r="T605" s="190"/>
      <c r="U605" s="190"/>
      <c r="V605" s="190"/>
      <c r="W605" s="190"/>
      <c r="X605" s="190"/>
      <c r="Y605" s="190"/>
      <c r="Z605" s="190"/>
    </row>
    <row r="606">
      <c r="A606" s="208"/>
      <c r="B606" s="190"/>
      <c r="C606" s="190"/>
      <c r="D606" s="190"/>
      <c r="E606" s="190"/>
      <c r="F606" s="209"/>
      <c r="G606" s="190"/>
      <c r="H606" s="190"/>
      <c r="I606" s="190"/>
      <c r="J606" s="190"/>
      <c r="K606" s="190"/>
      <c r="L606" s="190"/>
      <c r="M606" s="190"/>
      <c r="N606" s="190"/>
      <c r="O606" s="190"/>
      <c r="P606" s="190"/>
      <c r="Q606" s="190"/>
      <c r="R606" s="190"/>
      <c r="S606" s="190"/>
      <c r="T606" s="190"/>
      <c r="U606" s="190"/>
      <c r="V606" s="190"/>
      <c r="W606" s="190"/>
      <c r="X606" s="190"/>
      <c r="Y606" s="190"/>
      <c r="Z606" s="190"/>
    </row>
    <row r="607">
      <c r="A607" s="208"/>
      <c r="B607" s="190"/>
      <c r="C607" s="190"/>
      <c r="D607" s="190"/>
      <c r="E607" s="190"/>
      <c r="F607" s="209"/>
      <c r="G607" s="190"/>
      <c r="H607" s="190"/>
      <c r="I607" s="190"/>
      <c r="J607" s="190"/>
      <c r="K607" s="190"/>
      <c r="L607" s="190"/>
      <c r="M607" s="190"/>
      <c r="N607" s="190"/>
      <c r="O607" s="190"/>
      <c r="P607" s="190"/>
      <c r="Q607" s="190"/>
      <c r="R607" s="190"/>
      <c r="S607" s="190"/>
      <c r="T607" s="190"/>
      <c r="U607" s="190"/>
      <c r="V607" s="190"/>
      <c r="W607" s="190"/>
      <c r="X607" s="190"/>
      <c r="Y607" s="190"/>
      <c r="Z607" s="190"/>
    </row>
    <row r="608">
      <c r="A608" s="208"/>
      <c r="B608" s="190"/>
      <c r="C608" s="190"/>
      <c r="D608" s="190"/>
      <c r="E608" s="190"/>
      <c r="F608" s="209"/>
      <c r="G608" s="190"/>
      <c r="H608" s="190"/>
      <c r="I608" s="190"/>
      <c r="J608" s="190"/>
      <c r="K608" s="190"/>
      <c r="L608" s="190"/>
      <c r="M608" s="190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</row>
    <row r="609">
      <c r="A609" s="208"/>
      <c r="B609" s="190"/>
      <c r="C609" s="190"/>
      <c r="D609" s="190"/>
      <c r="E609" s="190"/>
      <c r="F609" s="209"/>
      <c r="G609" s="190"/>
      <c r="H609" s="190"/>
      <c r="I609" s="190"/>
      <c r="J609" s="190"/>
      <c r="K609" s="190"/>
      <c r="L609" s="190"/>
      <c r="M609" s="190"/>
      <c r="N609" s="190"/>
      <c r="O609" s="190"/>
      <c r="P609" s="190"/>
      <c r="Q609" s="190"/>
      <c r="R609" s="190"/>
      <c r="S609" s="190"/>
      <c r="T609" s="190"/>
      <c r="U609" s="190"/>
      <c r="V609" s="190"/>
      <c r="W609" s="190"/>
      <c r="X609" s="190"/>
      <c r="Y609" s="190"/>
      <c r="Z609" s="190"/>
    </row>
    <row r="610">
      <c r="A610" s="208"/>
      <c r="B610" s="190"/>
      <c r="C610" s="190"/>
      <c r="D610" s="190"/>
      <c r="E610" s="190"/>
      <c r="F610" s="209"/>
      <c r="G610" s="190"/>
      <c r="H610" s="190"/>
      <c r="I610" s="190"/>
      <c r="J610" s="190"/>
      <c r="K610" s="190"/>
      <c r="L610" s="190"/>
      <c r="M610" s="190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</row>
    <row r="611">
      <c r="A611" s="208"/>
      <c r="B611" s="190"/>
      <c r="C611" s="190"/>
      <c r="D611" s="190"/>
      <c r="E611" s="190"/>
      <c r="F611" s="209"/>
      <c r="G611" s="190"/>
      <c r="H611" s="190"/>
      <c r="I611" s="190"/>
      <c r="J611" s="190"/>
      <c r="K611" s="190"/>
      <c r="L611" s="190"/>
      <c r="M611" s="190"/>
      <c r="N611" s="190"/>
      <c r="O611" s="190"/>
      <c r="P611" s="190"/>
      <c r="Q611" s="190"/>
      <c r="R611" s="190"/>
      <c r="S611" s="190"/>
      <c r="T611" s="190"/>
      <c r="U611" s="190"/>
      <c r="V611" s="190"/>
      <c r="W611" s="190"/>
      <c r="X611" s="190"/>
      <c r="Y611" s="190"/>
      <c r="Z611" s="190"/>
    </row>
    <row r="612">
      <c r="A612" s="208"/>
      <c r="B612" s="190"/>
      <c r="C612" s="190"/>
      <c r="D612" s="190"/>
      <c r="E612" s="190"/>
      <c r="F612" s="209"/>
      <c r="G612" s="190"/>
      <c r="H612" s="190"/>
      <c r="I612" s="190"/>
      <c r="J612" s="190"/>
      <c r="K612" s="190"/>
      <c r="L612" s="190"/>
      <c r="M612" s="190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</row>
    <row r="613">
      <c r="A613" s="208"/>
      <c r="B613" s="190"/>
      <c r="C613" s="190"/>
      <c r="D613" s="190"/>
      <c r="E613" s="190"/>
      <c r="F613" s="209"/>
      <c r="G613" s="190"/>
      <c r="H613" s="190"/>
      <c r="I613" s="190"/>
      <c r="J613" s="190"/>
      <c r="K613" s="190"/>
      <c r="L613" s="190"/>
      <c r="M613" s="190"/>
      <c r="N613" s="190"/>
      <c r="O613" s="190"/>
      <c r="P613" s="190"/>
      <c r="Q613" s="190"/>
      <c r="R613" s="190"/>
      <c r="S613" s="190"/>
      <c r="T613" s="190"/>
      <c r="U613" s="190"/>
      <c r="V613" s="190"/>
      <c r="W613" s="190"/>
      <c r="X613" s="190"/>
      <c r="Y613" s="190"/>
      <c r="Z613" s="190"/>
    </row>
    <row r="614">
      <c r="A614" s="208"/>
      <c r="B614" s="190"/>
      <c r="C614" s="190"/>
      <c r="D614" s="190"/>
      <c r="E614" s="190"/>
      <c r="F614" s="209"/>
      <c r="G614" s="190"/>
      <c r="H614" s="190"/>
      <c r="I614" s="190"/>
      <c r="J614" s="190"/>
      <c r="K614" s="190"/>
      <c r="L614" s="190"/>
      <c r="M614" s="190"/>
      <c r="N614" s="190"/>
      <c r="O614" s="190"/>
      <c r="P614" s="190"/>
      <c r="Q614" s="190"/>
      <c r="R614" s="190"/>
      <c r="S614" s="190"/>
      <c r="T614" s="190"/>
      <c r="U614" s="190"/>
      <c r="V614" s="190"/>
      <c r="W614" s="190"/>
      <c r="X614" s="190"/>
      <c r="Y614" s="190"/>
      <c r="Z614" s="190"/>
    </row>
    <row r="615">
      <c r="A615" s="208"/>
      <c r="B615" s="190"/>
      <c r="C615" s="190"/>
      <c r="D615" s="190"/>
      <c r="E615" s="190"/>
      <c r="F615" s="209"/>
      <c r="G615" s="190"/>
      <c r="H615" s="190"/>
      <c r="I615" s="190"/>
      <c r="J615" s="190"/>
      <c r="K615" s="190"/>
      <c r="L615" s="190"/>
      <c r="M615" s="190"/>
      <c r="N615" s="190"/>
      <c r="O615" s="190"/>
      <c r="P615" s="190"/>
      <c r="Q615" s="190"/>
      <c r="R615" s="190"/>
      <c r="S615" s="190"/>
      <c r="T615" s="190"/>
      <c r="U615" s="190"/>
      <c r="V615" s="190"/>
      <c r="W615" s="190"/>
      <c r="X615" s="190"/>
      <c r="Y615" s="190"/>
      <c r="Z615" s="190"/>
    </row>
    <row r="616">
      <c r="A616" s="208"/>
      <c r="B616" s="190"/>
      <c r="C616" s="190"/>
      <c r="D616" s="190"/>
      <c r="E616" s="190"/>
      <c r="F616" s="209"/>
      <c r="G616" s="190"/>
      <c r="H616" s="190"/>
      <c r="I616" s="190"/>
      <c r="J616" s="190"/>
      <c r="K616" s="190"/>
      <c r="L616" s="190"/>
      <c r="M616" s="190"/>
      <c r="N616" s="190"/>
      <c r="O616" s="190"/>
      <c r="P616" s="190"/>
      <c r="Q616" s="190"/>
      <c r="R616" s="190"/>
      <c r="S616" s="190"/>
      <c r="T616" s="190"/>
      <c r="U616" s="190"/>
      <c r="V616" s="190"/>
      <c r="W616" s="190"/>
      <c r="X616" s="190"/>
      <c r="Y616" s="190"/>
      <c r="Z616" s="190"/>
    </row>
    <row r="617">
      <c r="A617" s="208"/>
      <c r="B617" s="190"/>
      <c r="C617" s="190"/>
      <c r="D617" s="190"/>
      <c r="E617" s="190"/>
      <c r="F617" s="209"/>
      <c r="G617" s="190"/>
      <c r="H617" s="190"/>
      <c r="I617" s="190"/>
      <c r="J617" s="190"/>
      <c r="K617" s="190"/>
      <c r="L617" s="190"/>
      <c r="M617" s="190"/>
      <c r="N617" s="190"/>
      <c r="O617" s="190"/>
      <c r="P617" s="190"/>
      <c r="Q617" s="190"/>
      <c r="R617" s="190"/>
      <c r="S617" s="190"/>
      <c r="T617" s="190"/>
      <c r="U617" s="190"/>
      <c r="V617" s="190"/>
      <c r="W617" s="190"/>
      <c r="X617" s="190"/>
      <c r="Y617" s="190"/>
      <c r="Z617" s="190"/>
    </row>
    <row r="618">
      <c r="A618" s="208"/>
      <c r="B618" s="190"/>
      <c r="C618" s="190"/>
      <c r="D618" s="190"/>
      <c r="E618" s="190"/>
      <c r="F618" s="209"/>
      <c r="G618" s="190"/>
      <c r="H618" s="190"/>
      <c r="I618" s="190"/>
      <c r="J618" s="190"/>
      <c r="K618" s="190"/>
      <c r="L618" s="190"/>
      <c r="M618" s="190"/>
      <c r="N618" s="190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</row>
    <row r="619">
      <c r="A619" s="208"/>
      <c r="B619" s="190"/>
      <c r="C619" s="190"/>
      <c r="D619" s="190"/>
      <c r="E619" s="190"/>
      <c r="F619" s="209"/>
      <c r="G619" s="190"/>
      <c r="H619" s="190"/>
      <c r="I619" s="190"/>
      <c r="J619" s="190"/>
      <c r="K619" s="190"/>
      <c r="L619" s="190"/>
      <c r="M619" s="190"/>
      <c r="N619" s="190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</row>
    <row r="620">
      <c r="A620" s="208"/>
      <c r="B620" s="190"/>
      <c r="C620" s="190"/>
      <c r="D620" s="190"/>
      <c r="E620" s="190"/>
      <c r="F620" s="209"/>
      <c r="G620" s="190"/>
      <c r="H620" s="190"/>
      <c r="I620" s="190"/>
      <c r="J620" s="190"/>
      <c r="K620" s="190"/>
      <c r="L620" s="190"/>
      <c r="M620" s="190"/>
      <c r="N620" s="190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</row>
    <row r="621">
      <c r="A621" s="208"/>
      <c r="B621" s="190"/>
      <c r="C621" s="190"/>
      <c r="D621" s="190"/>
      <c r="E621" s="190"/>
      <c r="F621" s="209"/>
      <c r="G621" s="190"/>
      <c r="H621" s="190"/>
      <c r="I621" s="190"/>
      <c r="J621" s="190"/>
      <c r="K621" s="190"/>
      <c r="L621" s="190"/>
      <c r="M621" s="190"/>
      <c r="N621" s="190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</row>
    <row r="622">
      <c r="A622" s="208"/>
      <c r="B622" s="190"/>
      <c r="C622" s="190"/>
      <c r="D622" s="190"/>
      <c r="E622" s="190"/>
      <c r="F622" s="209"/>
      <c r="G622" s="190"/>
      <c r="H622" s="190"/>
      <c r="I622" s="190"/>
      <c r="J622" s="190"/>
      <c r="K622" s="190"/>
      <c r="L622" s="190"/>
      <c r="M622" s="190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</row>
    <row r="623">
      <c r="A623" s="208"/>
      <c r="B623" s="190"/>
      <c r="C623" s="190"/>
      <c r="D623" s="190"/>
      <c r="E623" s="190"/>
      <c r="F623" s="209"/>
      <c r="G623" s="190"/>
      <c r="H623" s="190"/>
      <c r="I623" s="190"/>
      <c r="J623" s="190"/>
      <c r="K623" s="190"/>
      <c r="L623" s="190"/>
      <c r="M623" s="190"/>
      <c r="N623" s="190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</row>
    <row r="624">
      <c r="A624" s="208"/>
      <c r="B624" s="190"/>
      <c r="C624" s="190"/>
      <c r="D624" s="190"/>
      <c r="E624" s="190"/>
      <c r="F624" s="209"/>
      <c r="G624" s="190"/>
      <c r="H624" s="190"/>
      <c r="I624" s="190"/>
      <c r="J624" s="190"/>
      <c r="K624" s="190"/>
      <c r="L624" s="190"/>
      <c r="M624" s="190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</row>
    <row r="625">
      <c r="A625" s="208"/>
      <c r="B625" s="190"/>
      <c r="C625" s="190"/>
      <c r="D625" s="190"/>
      <c r="E625" s="190"/>
      <c r="F625" s="209"/>
      <c r="G625" s="190"/>
      <c r="H625" s="190"/>
      <c r="I625" s="190"/>
      <c r="J625" s="190"/>
      <c r="K625" s="190"/>
      <c r="L625" s="190"/>
      <c r="M625" s="190"/>
      <c r="N625" s="190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</row>
    <row r="626">
      <c r="A626" s="208"/>
      <c r="B626" s="190"/>
      <c r="C626" s="190"/>
      <c r="D626" s="190"/>
      <c r="E626" s="190"/>
      <c r="F626" s="209"/>
      <c r="G626" s="190"/>
      <c r="H626" s="190"/>
      <c r="I626" s="190"/>
      <c r="J626" s="190"/>
      <c r="K626" s="190"/>
      <c r="L626" s="190"/>
      <c r="M626" s="190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</row>
    <row r="627">
      <c r="A627" s="208"/>
      <c r="B627" s="190"/>
      <c r="C627" s="190"/>
      <c r="D627" s="190"/>
      <c r="E627" s="190"/>
      <c r="F627" s="209"/>
      <c r="G627" s="190"/>
      <c r="H627" s="190"/>
      <c r="I627" s="190"/>
      <c r="J627" s="190"/>
      <c r="K627" s="190"/>
      <c r="L627" s="190"/>
      <c r="M627" s="190"/>
      <c r="N627" s="190"/>
      <c r="O627" s="190"/>
      <c r="P627" s="190"/>
      <c r="Q627" s="190"/>
      <c r="R627" s="190"/>
      <c r="S627" s="190"/>
      <c r="T627" s="190"/>
      <c r="U627" s="190"/>
      <c r="V627" s="190"/>
      <c r="W627" s="190"/>
      <c r="X627" s="190"/>
      <c r="Y627" s="190"/>
      <c r="Z627" s="190"/>
    </row>
    <row r="628">
      <c r="A628" s="208"/>
      <c r="B628" s="190"/>
      <c r="C628" s="190"/>
      <c r="D628" s="190"/>
      <c r="E628" s="190"/>
      <c r="F628" s="209"/>
      <c r="G628" s="190"/>
      <c r="H628" s="190"/>
      <c r="I628" s="190"/>
      <c r="J628" s="190"/>
      <c r="K628" s="190"/>
      <c r="L628" s="190"/>
      <c r="M628" s="190"/>
      <c r="N628" s="190"/>
      <c r="O628" s="190"/>
      <c r="P628" s="190"/>
      <c r="Q628" s="190"/>
      <c r="R628" s="190"/>
      <c r="S628" s="190"/>
      <c r="T628" s="190"/>
      <c r="U628" s="190"/>
      <c r="V628" s="190"/>
      <c r="W628" s="190"/>
      <c r="X628" s="190"/>
      <c r="Y628" s="190"/>
      <c r="Z628" s="190"/>
    </row>
    <row r="629">
      <c r="A629" s="208"/>
      <c r="B629" s="190"/>
      <c r="C629" s="190"/>
      <c r="D629" s="190"/>
      <c r="E629" s="190"/>
      <c r="F629" s="209"/>
      <c r="G629" s="190"/>
      <c r="H629" s="190"/>
      <c r="I629" s="190"/>
      <c r="J629" s="190"/>
      <c r="K629" s="190"/>
      <c r="L629" s="190"/>
      <c r="M629" s="190"/>
      <c r="N629" s="190"/>
      <c r="O629" s="190"/>
      <c r="P629" s="190"/>
      <c r="Q629" s="190"/>
      <c r="R629" s="190"/>
      <c r="S629" s="190"/>
      <c r="T629" s="190"/>
      <c r="U629" s="190"/>
      <c r="V629" s="190"/>
      <c r="W629" s="190"/>
      <c r="X629" s="190"/>
      <c r="Y629" s="190"/>
      <c r="Z629" s="190"/>
    </row>
    <row r="630">
      <c r="A630" s="208"/>
      <c r="B630" s="190"/>
      <c r="C630" s="190"/>
      <c r="D630" s="190"/>
      <c r="E630" s="190"/>
      <c r="F630" s="209"/>
      <c r="G630" s="190"/>
      <c r="H630" s="190"/>
      <c r="I630" s="190"/>
      <c r="J630" s="190"/>
      <c r="K630" s="190"/>
      <c r="L630" s="190"/>
      <c r="M630" s="190"/>
      <c r="N630" s="190"/>
      <c r="O630" s="190"/>
      <c r="P630" s="190"/>
      <c r="Q630" s="190"/>
      <c r="R630" s="190"/>
      <c r="S630" s="190"/>
      <c r="T630" s="190"/>
      <c r="U630" s="190"/>
      <c r="V630" s="190"/>
      <c r="W630" s="190"/>
      <c r="X630" s="190"/>
      <c r="Y630" s="190"/>
      <c r="Z630" s="190"/>
    </row>
    <row r="631">
      <c r="A631" s="208"/>
      <c r="B631" s="190"/>
      <c r="C631" s="190"/>
      <c r="D631" s="190"/>
      <c r="E631" s="190"/>
      <c r="F631" s="209"/>
      <c r="G631" s="190"/>
      <c r="H631" s="190"/>
      <c r="I631" s="190"/>
      <c r="J631" s="190"/>
      <c r="K631" s="190"/>
      <c r="L631" s="190"/>
      <c r="M631" s="190"/>
      <c r="N631" s="190"/>
      <c r="O631" s="190"/>
      <c r="P631" s="190"/>
      <c r="Q631" s="190"/>
      <c r="R631" s="190"/>
      <c r="S631" s="190"/>
      <c r="T631" s="190"/>
      <c r="U631" s="190"/>
      <c r="V631" s="190"/>
      <c r="W631" s="190"/>
      <c r="X631" s="190"/>
      <c r="Y631" s="190"/>
      <c r="Z631" s="190"/>
    </row>
    <row r="632">
      <c r="A632" s="208"/>
      <c r="B632" s="190"/>
      <c r="C632" s="190"/>
      <c r="D632" s="190"/>
      <c r="E632" s="190"/>
      <c r="F632" s="209"/>
      <c r="G632" s="190"/>
      <c r="H632" s="190"/>
      <c r="I632" s="190"/>
      <c r="J632" s="190"/>
      <c r="K632" s="190"/>
      <c r="L632" s="190"/>
      <c r="M632" s="190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</row>
    <row r="633">
      <c r="A633" s="208"/>
      <c r="B633" s="190"/>
      <c r="C633" s="190"/>
      <c r="D633" s="190"/>
      <c r="E633" s="190"/>
      <c r="F633" s="209"/>
      <c r="G633" s="190"/>
      <c r="H633" s="190"/>
      <c r="I633" s="190"/>
      <c r="J633" s="190"/>
      <c r="K633" s="190"/>
      <c r="L633" s="190"/>
      <c r="M633" s="190"/>
      <c r="N633" s="190"/>
      <c r="O633" s="190"/>
      <c r="P633" s="190"/>
      <c r="Q633" s="190"/>
      <c r="R633" s="190"/>
      <c r="S633" s="190"/>
      <c r="T633" s="190"/>
      <c r="U633" s="190"/>
      <c r="V633" s="190"/>
      <c r="W633" s="190"/>
      <c r="X633" s="190"/>
      <c r="Y633" s="190"/>
      <c r="Z633" s="190"/>
    </row>
    <row r="634">
      <c r="A634" s="208"/>
      <c r="B634" s="190"/>
      <c r="C634" s="190"/>
      <c r="D634" s="190"/>
      <c r="E634" s="190"/>
      <c r="F634" s="209"/>
      <c r="G634" s="190"/>
      <c r="H634" s="190"/>
      <c r="I634" s="190"/>
      <c r="J634" s="190"/>
      <c r="K634" s="190"/>
      <c r="L634" s="190"/>
      <c r="M634" s="190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</row>
    <row r="635">
      <c r="A635" s="208"/>
      <c r="B635" s="190"/>
      <c r="C635" s="190"/>
      <c r="D635" s="190"/>
      <c r="E635" s="190"/>
      <c r="F635" s="209"/>
      <c r="G635" s="190"/>
      <c r="H635" s="190"/>
      <c r="I635" s="190"/>
      <c r="J635" s="190"/>
      <c r="K635" s="190"/>
      <c r="L635" s="190"/>
      <c r="M635" s="190"/>
      <c r="N635" s="190"/>
      <c r="O635" s="190"/>
      <c r="P635" s="190"/>
      <c r="Q635" s="190"/>
      <c r="R635" s="190"/>
      <c r="S635" s="190"/>
      <c r="T635" s="190"/>
      <c r="U635" s="190"/>
      <c r="V635" s="190"/>
      <c r="W635" s="190"/>
      <c r="X635" s="190"/>
      <c r="Y635" s="190"/>
      <c r="Z635" s="190"/>
    </row>
    <row r="636">
      <c r="A636" s="208"/>
      <c r="B636" s="190"/>
      <c r="C636" s="190"/>
      <c r="D636" s="190"/>
      <c r="E636" s="190"/>
      <c r="F636" s="209"/>
      <c r="G636" s="190"/>
      <c r="H636" s="190"/>
      <c r="I636" s="190"/>
      <c r="J636" s="190"/>
      <c r="K636" s="190"/>
      <c r="L636" s="190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</row>
    <row r="637">
      <c r="A637" s="208"/>
      <c r="B637" s="190"/>
      <c r="C637" s="190"/>
      <c r="D637" s="190"/>
      <c r="E637" s="190"/>
      <c r="F637" s="209"/>
      <c r="G637" s="190"/>
      <c r="H637" s="190"/>
      <c r="I637" s="190"/>
      <c r="J637" s="190"/>
      <c r="K637" s="190"/>
      <c r="L637" s="190"/>
      <c r="M637" s="190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</row>
    <row r="638">
      <c r="A638" s="208"/>
      <c r="B638" s="190"/>
      <c r="C638" s="190"/>
      <c r="D638" s="190"/>
      <c r="E638" s="190"/>
      <c r="F638" s="209"/>
      <c r="G638" s="190"/>
      <c r="H638" s="190"/>
      <c r="I638" s="190"/>
      <c r="J638" s="190"/>
      <c r="K638" s="190"/>
      <c r="L638" s="190"/>
      <c r="M638" s="190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</row>
    <row r="639">
      <c r="A639" s="208"/>
      <c r="B639" s="190"/>
      <c r="C639" s="190"/>
      <c r="D639" s="190"/>
      <c r="E639" s="190"/>
      <c r="F639" s="209"/>
      <c r="G639" s="190"/>
      <c r="H639" s="190"/>
      <c r="I639" s="190"/>
      <c r="J639" s="190"/>
      <c r="K639" s="190"/>
      <c r="L639" s="190"/>
      <c r="M639" s="190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</row>
    <row r="640">
      <c r="A640" s="208"/>
      <c r="B640" s="190"/>
      <c r="C640" s="190"/>
      <c r="D640" s="190"/>
      <c r="E640" s="190"/>
      <c r="F640" s="209"/>
      <c r="G640" s="190"/>
      <c r="H640" s="190"/>
      <c r="I640" s="190"/>
      <c r="J640" s="190"/>
      <c r="K640" s="190"/>
      <c r="L640" s="190"/>
      <c r="M640" s="190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</row>
    <row r="641">
      <c r="A641" s="208"/>
      <c r="B641" s="190"/>
      <c r="C641" s="190"/>
      <c r="D641" s="190"/>
      <c r="E641" s="190"/>
      <c r="F641" s="209"/>
      <c r="G641" s="190"/>
      <c r="H641" s="190"/>
      <c r="I641" s="190"/>
      <c r="J641" s="190"/>
      <c r="K641" s="190"/>
      <c r="L641" s="190"/>
      <c r="M641" s="190"/>
      <c r="N641" s="190"/>
      <c r="O641" s="190"/>
      <c r="P641" s="190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</row>
    <row r="642">
      <c r="A642" s="208"/>
      <c r="B642" s="190"/>
      <c r="C642" s="190"/>
      <c r="D642" s="190"/>
      <c r="E642" s="190"/>
      <c r="F642" s="209"/>
      <c r="G642" s="190"/>
      <c r="H642" s="190"/>
      <c r="I642" s="190"/>
      <c r="J642" s="190"/>
      <c r="K642" s="190"/>
      <c r="L642" s="190"/>
      <c r="M642" s="190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</row>
    <row r="643">
      <c r="A643" s="208"/>
      <c r="B643" s="190"/>
      <c r="C643" s="190"/>
      <c r="D643" s="190"/>
      <c r="E643" s="190"/>
      <c r="F643" s="209"/>
      <c r="G643" s="190"/>
      <c r="H643" s="190"/>
      <c r="I643" s="190"/>
      <c r="J643" s="190"/>
      <c r="K643" s="190"/>
      <c r="L643" s="190"/>
      <c r="M643" s="190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</row>
    <row r="644">
      <c r="A644" s="208"/>
      <c r="B644" s="190"/>
      <c r="C644" s="190"/>
      <c r="D644" s="190"/>
      <c r="E644" s="190"/>
      <c r="F644" s="209"/>
      <c r="G644" s="190"/>
      <c r="H644" s="190"/>
      <c r="I644" s="190"/>
      <c r="J644" s="190"/>
      <c r="K644" s="190"/>
      <c r="L644" s="190"/>
      <c r="M644" s="190"/>
      <c r="N644" s="190"/>
      <c r="O644" s="190"/>
      <c r="P644" s="190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</row>
    <row r="645">
      <c r="A645" s="208"/>
      <c r="B645" s="190"/>
      <c r="C645" s="190"/>
      <c r="D645" s="190"/>
      <c r="E645" s="190"/>
      <c r="F645" s="209"/>
      <c r="G645" s="190"/>
      <c r="H645" s="190"/>
      <c r="I645" s="190"/>
      <c r="J645" s="190"/>
      <c r="K645" s="190"/>
      <c r="L645" s="190"/>
      <c r="M645" s="190"/>
      <c r="N645" s="190"/>
      <c r="O645" s="190"/>
      <c r="P645" s="190"/>
      <c r="Q645" s="190"/>
      <c r="R645" s="190"/>
      <c r="S645" s="190"/>
      <c r="T645" s="190"/>
      <c r="U645" s="190"/>
      <c r="V645" s="190"/>
      <c r="W645" s="190"/>
      <c r="X645" s="190"/>
      <c r="Y645" s="190"/>
      <c r="Z645" s="190"/>
    </row>
    <row r="646">
      <c r="A646" s="208"/>
      <c r="B646" s="190"/>
      <c r="C646" s="190"/>
      <c r="D646" s="190"/>
      <c r="E646" s="190"/>
      <c r="F646" s="209"/>
      <c r="G646" s="190"/>
      <c r="H646" s="190"/>
      <c r="I646" s="190"/>
      <c r="J646" s="190"/>
      <c r="K646" s="190"/>
      <c r="L646" s="190"/>
      <c r="M646" s="190"/>
      <c r="N646" s="190"/>
      <c r="O646" s="190"/>
      <c r="P646" s="190"/>
      <c r="Q646" s="190"/>
      <c r="R646" s="190"/>
      <c r="S646" s="190"/>
      <c r="T646" s="190"/>
      <c r="U646" s="190"/>
      <c r="V646" s="190"/>
      <c r="W646" s="190"/>
      <c r="X646" s="190"/>
      <c r="Y646" s="190"/>
      <c r="Z646" s="190"/>
    </row>
    <row r="647">
      <c r="A647" s="208"/>
      <c r="B647" s="190"/>
      <c r="C647" s="190"/>
      <c r="D647" s="190"/>
      <c r="E647" s="190"/>
      <c r="F647" s="209"/>
      <c r="G647" s="190"/>
      <c r="H647" s="190"/>
      <c r="I647" s="190"/>
      <c r="J647" s="190"/>
      <c r="K647" s="190"/>
      <c r="L647" s="190"/>
      <c r="M647" s="190"/>
      <c r="N647" s="190"/>
      <c r="O647" s="190"/>
      <c r="P647" s="190"/>
      <c r="Q647" s="190"/>
      <c r="R647" s="190"/>
      <c r="S647" s="190"/>
      <c r="T647" s="190"/>
      <c r="U647" s="190"/>
      <c r="V647" s="190"/>
      <c r="W647" s="190"/>
      <c r="X647" s="190"/>
      <c r="Y647" s="190"/>
      <c r="Z647" s="190"/>
    </row>
    <row r="648">
      <c r="A648" s="208"/>
      <c r="B648" s="190"/>
      <c r="C648" s="190"/>
      <c r="D648" s="190"/>
      <c r="E648" s="190"/>
      <c r="F648" s="209"/>
      <c r="G648" s="190"/>
      <c r="H648" s="190"/>
      <c r="I648" s="190"/>
      <c r="J648" s="190"/>
      <c r="K648" s="190"/>
      <c r="L648" s="190"/>
      <c r="M648" s="190"/>
      <c r="N648" s="190"/>
      <c r="O648" s="190"/>
      <c r="P648" s="190"/>
      <c r="Q648" s="190"/>
      <c r="R648" s="190"/>
      <c r="S648" s="190"/>
      <c r="T648" s="190"/>
      <c r="U648" s="190"/>
      <c r="V648" s="190"/>
      <c r="W648" s="190"/>
      <c r="X648" s="190"/>
      <c r="Y648" s="190"/>
      <c r="Z648" s="190"/>
    </row>
    <row r="649">
      <c r="A649" s="208"/>
      <c r="B649" s="190"/>
      <c r="C649" s="190"/>
      <c r="D649" s="190"/>
      <c r="E649" s="190"/>
      <c r="F649" s="209"/>
      <c r="G649" s="190"/>
      <c r="H649" s="190"/>
      <c r="I649" s="190"/>
      <c r="J649" s="190"/>
      <c r="K649" s="190"/>
      <c r="L649" s="190"/>
      <c r="M649" s="190"/>
      <c r="N649" s="190"/>
      <c r="O649" s="190"/>
      <c r="P649" s="190"/>
      <c r="Q649" s="190"/>
      <c r="R649" s="190"/>
      <c r="S649" s="190"/>
      <c r="T649" s="190"/>
      <c r="U649" s="190"/>
      <c r="V649" s="190"/>
      <c r="W649" s="190"/>
      <c r="X649" s="190"/>
      <c r="Y649" s="190"/>
      <c r="Z649" s="190"/>
    </row>
    <row r="650">
      <c r="A650" s="208"/>
      <c r="B650" s="190"/>
      <c r="C650" s="190"/>
      <c r="D650" s="190"/>
      <c r="E650" s="190"/>
      <c r="F650" s="209"/>
      <c r="G650" s="190"/>
      <c r="H650" s="190"/>
      <c r="I650" s="190"/>
      <c r="J650" s="190"/>
      <c r="K650" s="190"/>
      <c r="L650" s="190"/>
      <c r="M650" s="190"/>
      <c r="N650" s="190"/>
      <c r="O650" s="190"/>
      <c r="P650" s="190"/>
      <c r="Q650" s="190"/>
      <c r="R650" s="190"/>
      <c r="S650" s="190"/>
      <c r="T650" s="190"/>
      <c r="U650" s="190"/>
      <c r="V650" s="190"/>
      <c r="W650" s="190"/>
      <c r="X650" s="190"/>
      <c r="Y650" s="190"/>
      <c r="Z650" s="190"/>
    </row>
    <row r="651">
      <c r="A651" s="208"/>
      <c r="B651" s="190"/>
      <c r="C651" s="190"/>
      <c r="D651" s="190"/>
      <c r="E651" s="190"/>
      <c r="F651" s="209"/>
      <c r="G651" s="190"/>
      <c r="H651" s="190"/>
      <c r="I651" s="190"/>
      <c r="J651" s="190"/>
      <c r="K651" s="190"/>
      <c r="L651" s="190"/>
      <c r="M651" s="190"/>
      <c r="N651" s="190"/>
      <c r="O651" s="190"/>
      <c r="P651" s="190"/>
      <c r="Q651" s="190"/>
      <c r="R651" s="190"/>
      <c r="S651" s="190"/>
      <c r="T651" s="190"/>
      <c r="U651" s="190"/>
      <c r="V651" s="190"/>
      <c r="W651" s="190"/>
      <c r="X651" s="190"/>
      <c r="Y651" s="190"/>
      <c r="Z651" s="190"/>
    </row>
    <row r="652">
      <c r="A652" s="208"/>
      <c r="B652" s="190"/>
      <c r="C652" s="190"/>
      <c r="D652" s="190"/>
      <c r="E652" s="190"/>
      <c r="F652" s="209"/>
      <c r="G652" s="190"/>
      <c r="H652" s="190"/>
      <c r="I652" s="190"/>
      <c r="J652" s="190"/>
      <c r="K652" s="190"/>
      <c r="L652" s="190"/>
      <c r="M652" s="190"/>
      <c r="N652" s="190"/>
      <c r="O652" s="190"/>
      <c r="P652" s="190"/>
      <c r="Q652" s="190"/>
      <c r="R652" s="190"/>
      <c r="S652" s="190"/>
      <c r="T652" s="190"/>
      <c r="U652" s="190"/>
      <c r="V652" s="190"/>
      <c r="W652" s="190"/>
      <c r="X652" s="190"/>
      <c r="Y652" s="190"/>
      <c r="Z652" s="190"/>
    </row>
    <row r="653">
      <c r="A653" s="208"/>
      <c r="B653" s="190"/>
      <c r="C653" s="190"/>
      <c r="D653" s="190"/>
      <c r="E653" s="190"/>
      <c r="F653" s="209"/>
      <c r="G653" s="190"/>
      <c r="H653" s="190"/>
      <c r="I653" s="190"/>
      <c r="J653" s="190"/>
      <c r="K653" s="190"/>
      <c r="L653" s="190"/>
      <c r="M653" s="190"/>
      <c r="N653" s="190"/>
      <c r="O653" s="190"/>
      <c r="P653" s="190"/>
      <c r="Q653" s="190"/>
      <c r="R653" s="190"/>
      <c r="S653" s="190"/>
      <c r="T653" s="190"/>
      <c r="U653" s="190"/>
      <c r="V653" s="190"/>
      <c r="W653" s="190"/>
      <c r="X653" s="190"/>
      <c r="Y653" s="190"/>
      <c r="Z653" s="190"/>
    </row>
    <row r="654">
      <c r="A654" s="208"/>
      <c r="B654" s="190"/>
      <c r="C654" s="190"/>
      <c r="D654" s="190"/>
      <c r="E654" s="190"/>
      <c r="F654" s="209"/>
      <c r="G654" s="190"/>
      <c r="H654" s="190"/>
      <c r="I654" s="190"/>
      <c r="J654" s="190"/>
      <c r="K654" s="190"/>
      <c r="L654" s="190"/>
      <c r="M654" s="190"/>
      <c r="N654" s="190"/>
      <c r="O654" s="190"/>
      <c r="P654" s="190"/>
      <c r="Q654" s="190"/>
      <c r="R654" s="190"/>
      <c r="S654" s="190"/>
      <c r="T654" s="190"/>
      <c r="U654" s="190"/>
      <c r="V654" s="190"/>
      <c r="W654" s="190"/>
      <c r="X654" s="190"/>
      <c r="Y654" s="190"/>
      <c r="Z654" s="190"/>
    </row>
    <row r="655">
      <c r="A655" s="208"/>
      <c r="B655" s="190"/>
      <c r="C655" s="190"/>
      <c r="D655" s="190"/>
      <c r="E655" s="190"/>
      <c r="F655" s="209"/>
      <c r="G655" s="190"/>
      <c r="H655" s="190"/>
      <c r="I655" s="190"/>
      <c r="J655" s="190"/>
      <c r="K655" s="190"/>
      <c r="L655" s="190"/>
      <c r="M655" s="190"/>
      <c r="N655" s="190"/>
      <c r="O655" s="190"/>
      <c r="P655" s="190"/>
      <c r="Q655" s="190"/>
      <c r="R655" s="190"/>
      <c r="S655" s="190"/>
      <c r="T655" s="190"/>
      <c r="U655" s="190"/>
      <c r="V655" s="190"/>
      <c r="W655" s="190"/>
      <c r="X655" s="190"/>
      <c r="Y655" s="190"/>
      <c r="Z655" s="190"/>
    </row>
    <row r="656">
      <c r="A656" s="208"/>
      <c r="B656" s="190"/>
      <c r="C656" s="190"/>
      <c r="D656" s="190"/>
      <c r="E656" s="190"/>
      <c r="F656" s="209"/>
      <c r="G656" s="190"/>
      <c r="H656" s="190"/>
      <c r="I656" s="190"/>
      <c r="J656" s="190"/>
      <c r="K656" s="190"/>
      <c r="L656" s="190"/>
      <c r="M656" s="190"/>
      <c r="N656" s="190"/>
      <c r="O656" s="190"/>
      <c r="P656" s="190"/>
      <c r="Q656" s="190"/>
      <c r="R656" s="190"/>
      <c r="S656" s="190"/>
      <c r="T656" s="190"/>
      <c r="U656" s="190"/>
      <c r="V656" s="190"/>
      <c r="W656" s="190"/>
      <c r="X656" s="190"/>
      <c r="Y656" s="190"/>
      <c r="Z656" s="190"/>
    </row>
    <row r="657">
      <c r="A657" s="208"/>
      <c r="B657" s="190"/>
      <c r="C657" s="190"/>
      <c r="D657" s="190"/>
      <c r="E657" s="190"/>
      <c r="F657" s="209"/>
      <c r="G657" s="190"/>
      <c r="H657" s="190"/>
      <c r="I657" s="190"/>
      <c r="J657" s="190"/>
      <c r="K657" s="190"/>
      <c r="L657" s="190"/>
      <c r="M657" s="190"/>
      <c r="N657" s="190"/>
      <c r="O657" s="190"/>
      <c r="P657" s="190"/>
      <c r="Q657" s="190"/>
      <c r="R657" s="190"/>
      <c r="S657" s="190"/>
      <c r="T657" s="190"/>
      <c r="U657" s="190"/>
      <c r="V657" s="190"/>
      <c r="W657" s="190"/>
      <c r="X657" s="190"/>
      <c r="Y657" s="190"/>
      <c r="Z657" s="190"/>
    </row>
    <row r="658">
      <c r="A658" s="208"/>
      <c r="B658" s="190"/>
      <c r="C658" s="190"/>
      <c r="D658" s="190"/>
      <c r="E658" s="190"/>
      <c r="F658" s="209"/>
      <c r="G658" s="190"/>
      <c r="H658" s="190"/>
      <c r="I658" s="190"/>
      <c r="J658" s="190"/>
      <c r="K658" s="190"/>
      <c r="L658" s="190"/>
      <c r="M658" s="190"/>
      <c r="N658" s="190"/>
      <c r="O658" s="190"/>
      <c r="P658" s="190"/>
      <c r="Q658" s="190"/>
      <c r="R658" s="190"/>
      <c r="S658" s="190"/>
      <c r="T658" s="190"/>
      <c r="U658" s="190"/>
      <c r="V658" s="190"/>
      <c r="W658" s="190"/>
      <c r="X658" s="190"/>
      <c r="Y658" s="190"/>
      <c r="Z658" s="190"/>
    </row>
    <row r="659">
      <c r="A659" s="208"/>
      <c r="B659" s="190"/>
      <c r="C659" s="190"/>
      <c r="D659" s="190"/>
      <c r="E659" s="190"/>
      <c r="F659" s="209"/>
      <c r="G659" s="190"/>
      <c r="H659" s="190"/>
      <c r="I659" s="190"/>
      <c r="J659" s="190"/>
      <c r="K659" s="190"/>
      <c r="L659" s="190"/>
      <c r="M659" s="190"/>
      <c r="N659" s="190"/>
      <c r="O659" s="190"/>
      <c r="P659" s="190"/>
      <c r="Q659" s="190"/>
      <c r="R659" s="190"/>
      <c r="S659" s="190"/>
      <c r="T659" s="190"/>
      <c r="U659" s="190"/>
      <c r="V659" s="190"/>
      <c r="W659" s="190"/>
      <c r="X659" s="190"/>
      <c r="Y659" s="190"/>
      <c r="Z659" s="190"/>
    </row>
    <row r="660">
      <c r="A660" s="208"/>
      <c r="B660" s="190"/>
      <c r="C660" s="190"/>
      <c r="D660" s="190"/>
      <c r="E660" s="190"/>
      <c r="F660" s="209"/>
      <c r="G660" s="190"/>
      <c r="H660" s="190"/>
      <c r="I660" s="190"/>
      <c r="J660" s="190"/>
      <c r="K660" s="190"/>
      <c r="L660" s="190"/>
      <c r="M660" s="190"/>
      <c r="N660" s="190"/>
      <c r="O660" s="190"/>
      <c r="P660" s="190"/>
      <c r="Q660" s="190"/>
      <c r="R660" s="190"/>
      <c r="S660" s="190"/>
      <c r="T660" s="190"/>
      <c r="U660" s="190"/>
      <c r="V660" s="190"/>
      <c r="W660" s="190"/>
      <c r="X660" s="190"/>
      <c r="Y660" s="190"/>
      <c r="Z660" s="190"/>
    </row>
    <row r="661">
      <c r="A661" s="208"/>
      <c r="B661" s="190"/>
      <c r="C661" s="190"/>
      <c r="D661" s="190"/>
      <c r="E661" s="190"/>
      <c r="F661" s="209"/>
      <c r="G661" s="190"/>
      <c r="H661" s="190"/>
      <c r="I661" s="190"/>
      <c r="J661" s="190"/>
      <c r="K661" s="190"/>
      <c r="L661" s="190"/>
      <c r="M661" s="190"/>
      <c r="N661" s="190"/>
      <c r="O661" s="190"/>
      <c r="P661" s="190"/>
      <c r="Q661" s="190"/>
      <c r="R661" s="190"/>
      <c r="S661" s="190"/>
      <c r="T661" s="190"/>
      <c r="U661" s="190"/>
      <c r="V661" s="190"/>
      <c r="W661" s="190"/>
      <c r="X661" s="190"/>
      <c r="Y661" s="190"/>
      <c r="Z661" s="190"/>
    </row>
    <row r="662">
      <c r="A662" s="208"/>
      <c r="B662" s="190"/>
      <c r="C662" s="190"/>
      <c r="D662" s="190"/>
      <c r="E662" s="190"/>
      <c r="F662" s="209"/>
      <c r="G662" s="190"/>
      <c r="H662" s="190"/>
      <c r="I662" s="190"/>
      <c r="J662" s="190"/>
      <c r="K662" s="190"/>
      <c r="L662" s="190"/>
      <c r="M662" s="190"/>
      <c r="N662" s="190"/>
      <c r="O662" s="190"/>
      <c r="P662" s="190"/>
      <c r="Q662" s="190"/>
      <c r="R662" s="190"/>
      <c r="S662" s="190"/>
      <c r="T662" s="190"/>
      <c r="U662" s="190"/>
      <c r="V662" s="190"/>
      <c r="W662" s="190"/>
      <c r="X662" s="190"/>
      <c r="Y662" s="190"/>
      <c r="Z662" s="190"/>
    </row>
    <row r="663">
      <c r="A663" s="208"/>
      <c r="B663" s="190"/>
      <c r="C663" s="190"/>
      <c r="D663" s="190"/>
      <c r="E663" s="190"/>
      <c r="F663" s="209"/>
      <c r="G663" s="190"/>
      <c r="H663" s="190"/>
      <c r="I663" s="190"/>
      <c r="J663" s="190"/>
      <c r="K663" s="190"/>
      <c r="L663" s="190"/>
      <c r="M663" s="190"/>
      <c r="N663" s="190"/>
      <c r="O663" s="190"/>
      <c r="P663" s="190"/>
      <c r="Q663" s="190"/>
      <c r="R663" s="190"/>
      <c r="S663" s="190"/>
      <c r="T663" s="190"/>
      <c r="U663" s="190"/>
      <c r="V663" s="190"/>
      <c r="W663" s="190"/>
      <c r="X663" s="190"/>
      <c r="Y663" s="190"/>
      <c r="Z663" s="190"/>
    </row>
    <row r="664">
      <c r="A664" s="208"/>
      <c r="B664" s="190"/>
      <c r="C664" s="190"/>
      <c r="D664" s="190"/>
      <c r="E664" s="190"/>
      <c r="F664" s="209"/>
      <c r="G664" s="190"/>
      <c r="H664" s="190"/>
      <c r="I664" s="190"/>
      <c r="J664" s="190"/>
      <c r="K664" s="190"/>
      <c r="L664" s="190"/>
      <c r="M664" s="190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</row>
    <row r="665">
      <c r="A665" s="208"/>
      <c r="B665" s="190"/>
      <c r="C665" s="190"/>
      <c r="D665" s="190"/>
      <c r="E665" s="190"/>
      <c r="F665" s="209"/>
      <c r="G665" s="190"/>
      <c r="H665" s="190"/>
      <c r="I665" s="190"/>
      <c r="J665" s="190"/>
      <c r="K665" s="190"/>
      <c r="L665" s="190"/>
      <c r="M665" s="190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</row>
    <row r="666">
      <c r="A666" s="208"/>
      <c r="B666" s="190"/>
      <c r="C666" s="190"/>
      <c r="D666" s="190"/>
      <c r="E666" s="190"/>
      <c r="F666" s="209"/>
      <c r="G666" s="190"/>
      <c r="H666" s="190"/>
      <c r="I666" s="190"/>
      <c r="J666" s="190"/>
      <c r="K666" s="190"/>
      <c r="L666" s="190"/>
      <c r="M666" s="190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</row>
    <row r="667">
      <c r="A667" s="208"/>
      <c r="B667" s="190"/>
      <c r="C667" s="190"/>
      <c r="D667" s="190"/>
      <c r="E667" s="190"/>
      <c r="F667" s="209"/>
      <c r="G667" s="190"/>
      <c r="H667" s="190"/>
      <c r="I667" s="190"/>
      <c r="J667" s="190"/>
      <c r="K667" s="190"/>
      <c r="L667" s="190"/>
      <c r="M667" s="190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</row>
    <row r="668">
      <c r="A668" s="208"/>
      <c r="B668" s="190"/>
      <c r="C668" s="190"/>
      <c r="D668" s="190"/>
      <c r="E668" s="190"/>
      <c r="F668" s="209"/>
      <c r="G668" s="190"/>
      <c r="H668" s="190"/>
      <c r="I668" s="190"/>
      <c r="J668" s="190"/>
      <c r="K668" s="190"/>
      <c r="L668" s="190"/>
      <c r="M668" s="190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</row>
    <row r="669">
      <c r="A669" s="208"/>
      <c r="B669" s="190"/>
      <c r="C669" s="190"/>
      <c r="D669" s="190"/>
      <c r="E669" s="190"/>
      <c r="F669" s="209"/>
      <c r="G669" s="190"/>
      <c r="H669" s="190"/>
      <c r="I669" s="190"/>
      <c r="J669" s="190"/>
      <c r="K669" s="190"/>
      <c r="L669" s="190"/>
      <c r="M669" s="190"/>
      <c r="N669" s="190"/>
      <c r="O669" s="190"/>
      <c r="P669" s="190"/>
      <c r="Q669" s="190"/>
      <c r="R669" s="190"/>
      <c r="S669" s="190"/>
      <c r="T669" s="190"/>
      <c r="U669" s="190"/>
      <c r="V669" s="190"/>
      <c r="W669" s="190"/>
      <c r="X669" s="190"/>
      <c r="Y669" s="190"/>
      <c r="Z669" s="190"/>
    </row>
    <row r="670">
      <c r="A670" s="208"/>
      <c r="B670" s="190"/>
      <c r="C670" s="190"/>
      <c r="D670" s="190"/>
      <c r="E670" s="190"/>
      <c r="F670" s="209"/>
      <c r="G670" s="190"/>
      <c r="H670" s="190"/>
      <c r="I670" s="190"/>
      <c r="J670" s="190"/>
      <c r="K670" s="190"/>
      <c r="L670" s="190"/>
      <c r="M670" s="190"/>
      <c r="N670" s="190"/>
      <c r="O670" s="190"/>
      <c r="P670" s="190"/>
      <c r="Q670" s="190"/>
      <c r="R670" s="190"/>
      <c r="S670" s="190"/>
      <c r="T670" s="190"/>
      <c r="U670" s="190"/>
      <c r="V670" s="190"/>
      <c r="W670" s="190"/>
      <c r="X670" s="190"/>
      <c r="Y670" s="190"/>
      <c r="Z670" s="190"/>
    </row>
    <row r="671">
      <c r="A671" s="208"/>
      <c r="B671" s="190"/>
      <c r="C671" s="190"/>
      <c r="D671" s="190"/>
      <c r="E671" s="190"/>
      <c r="F671" s="209"/>
      <c r="G671" s="190"/>
      <c r="H671" s="190"/>
      <c r="I671" s="190"/>
      <c r="J671" s="190"/>
      <c r="K671" s="190"/>
      <c r="L671" s="190"/>
      <c r="M671" s="190"/>
      <c r="N671" s="190"/>
      <c r="O671" s="190"/>
      <c r="P671" s="190"/>
      <c r="Q671" s="190"/>
      <c r="R671" s="190"/>
      <c r="S671" s="190"/>
      <c r="T671" s="190"/>
      <c r="U671" s="190"/>
      <c r="V671" s="190"/>
      <c r="W671" s="190"/>
      <c r="X671" s="190"/>
      <c r="Y671" s="190"/>
      <c r="Z671" s="190"/>
    </row>
    <row r="672">
      <c r="A672" s="208"/>
      <c r="B672" s="190"/>
      <c r="C672" s="190"/>
      <c r="D672" s="190"/>
      <c r="E672" s="190"/>
      <c r="F672" s="209"/>
      <c r="G672" s="190"/>
      <c r="H672" s="190"/>
      <c r="I672" s="190"/>
      <c r="J672" s="190"/>
      <c r="K672" s="190"/>
      <c r="L672" s="190"/>
      <c r="M672" s="190"/>
      <c r="N672" s="190"/>
      <c r="O672" s="190"/>
      <c r="P672" s="190"/>
      <c r="Q672" s="190"/>
      <c r="R672" s="190"/>
      <c r="S672" s="190"/>
      <c r="T672" s="190"/>
      <c r="U672" s="190"/>
      <c r="V672" s="190"/>
      <c r="W672" s="190"/>
      <c r="X672" s="190"/>
      <c r="Y672" s="190"/>
      <c r="Z672" s="190"/>
    </row>
    <row r="673">
      <c r="A673" s="208"/>
      <c r="B673" s="190"/>
      <c r="C673" s="190"/>
      <c r="D673" s="190"/>
      <c r="E673" s="190"/>
      <c r="F673" s="209"/>
      <c r="G673" s="190"/>
      <c r="H673" s="190"/>
      <c r="I673" s="190"/>
      <c r="J673" s="190"/>
      <c r="K673" s="190"/>
      <c r="L673" s="190"/>
      <c r="M673" s="190"/>
      <c r="N673" s="190"/>
      <c r="O673" s="190"/>
      <c r="P673" s="190"/>
      <c r="Q673" s="190"/>
      <c r="R673" s="190"/>
      <c r="S673" s="190"/>
      <c r="T673" s="190"/>
      <c r="U673" s="190"/>
      <c r="V673" s="190"/>
      <c r="W673" s="190"/>
      <c r="X673" s="190"/>
      <c r="Y673" s="190"/>
      <c r="Z673" s="190"/>
    </row>
    <row r="674">
      <c r="A674" s="208"/>
      <c r="B674" s="190"/>
      <c r="C674" s="190"/>
      <c r="D674" s="190"/>
      <c r="E674" s="190"/>
      <c r="F674" s="209"/>
      <c r="G674" s="190"/>
      <c r="H674" s="190"/>
      <c r="I674" s="190"/>
      <c r="J674" s="190"/>
      <c r="K674" s="190"/>
      <c r="L674" s="190"/>
      <c r="M674" s="190"/>
      <c r="N674" s="190"/>
      <c r="O674" s="190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</row>
    <row r="675">
      <c r="A675" s="208"/>
      <c r="B675" s="190"/>
      <c r="C675" s="190"/>
      <c r="D675" s="190"/>
      <c r="E675" s="190"/>
      <c r="F675" s="209"/>
      <c r="G675" s="190"/>
      <c r="H675" s="190"/>
      <c r="I675" s="190"/>
      <c r="J675" s="190"/>
      <c r="K675" s="190"/>
      <c r="L675" s="190"/>
      <c r="M675" s="190"/>
      <c r="N675" s="190"/>
      <c r="O675" s="190"/>
      <c r="P675" s="190"/>
      <c r="Q675" s="190"/>
      <c r="R675" s="190"/>
      <c r="S675" s="190"/>
      <c r="T675" s="190"/>
      <c r="U675" s="190"/>
      <c r="V675" s="190"/>
      <c r="W675" s="190"/>
      <c r="X675" s="190"/>
      <c r="Y675" s="190"/>
      <c r="Z675" s="190"/>
    </row>
    <row r="676">
      <c r="A676" s="208"/>
      <c r="B676" s="190"/>
      <c r="C676" s="190"/>
      <c r="D676" s="190"/>
      <c r="E676" s="190"/>
      <c r="F676" s="209"/>
      <c r="G676" s="190"/>
      <c r="H676" s="190"/>
      <c r="I676" s="190"/>
      <c r="J676" s="190"/>
      <c r="K676" s="190"/>
      <c r="L676" s="190"/>
      <c r="M676" s="190"/>
      <c r="N676" s="190"/>
      <c r="O676" s="190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</row>
    <row r="677">
      <c r="A677" s="208"/>
      <c r="B677" s="190"/>
      <c r="C677" s="190"/>
      <c r="D677" s="190"/>
      <c r="E677" s="190"/>
      <c r="F677" s="209"/>
      <c r="G677" s="190"/>
      <c r="H677" s="190"/>
      <c r="I677" s="190"/>
      <c r="J677" s="190"/>
      <c r="K677" s="190"/>
      <c r="L677" s="190"/>
      <c r="M677" s="190"/>
      <c r="N677" s="190"/>
      <c r="O677" s="190"/>
      <c r="P677" s="190"/>
      <c r="Q677" s="190"/>
      <c r="R677" s="190"/>
      <c r="S677" s="190"/>
      <c r="T677" s="190"/>
      <c r="U677" s="190"/>
      <c r="V677" s="190"/>
      <c r="W677" s="190"/>
      <c r="X677" s="190"/>
      <c r="Y677" s="190"/>
      <c r="Z677" s="190"/>
    </row>
    <row r="678">
      <c r="A678" s="208"/>
      <c r="B678" s="190"/>
      <c r="C678" s="190"/>
      <c r="D678" s="190"/>
      <c r="E678" s="190"/>
      <c r="F678" s="209"/>
      <c r="G678" s="190"/>
      <c r="H678" s="190"/>
      <c r="I678" s="190"/>
      <c r="J678" s="190"/>
      <c r="K678" s="190"/>
      <c r="L678" s="190"/>
      <c r="M678" s="190"/>
      <c r="N678" s="190"/>
      <c r="O678" s="190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</row>
    <row r="679">
      <c r="A679" s="208"/>
      <c r="B679" s="190"/>
      <c r="C679" s="190"/>
      <c r="D679" s="190"/>
      <c r="E679" s="190"/>
      <c r="F679" s="209"/>
      <c r="G679" s="190"/>
      <c r="H679" s="190"/>
      <c r="I679" s="190"/>
      <c r="J679" s="190"/>
      <c r="K679" s="190"/>
      <c r="L679" s="190"/>
      <c r="M679" s="190"/>
      <c r="N679" s="190"/>
      <c r="O679" s="190"/>
      <c r="P679" s="190"/>
      <c r="Q679" s="190"/>
      <c r="R679" s="190"/>
      <c r="S679" s="190"/>
      <c r="T679" s="190"/>
      <c r="U679" s="190"/>
      <c r="V679" s="190"/>
      <c r="W679" s="190"/>
      <c r="X679" s="190"/>
      <c r="Y679" s="190"/>
      <c r="Z679" s="190"/>
    </row>
    <row r="680">
      <c r="A680" s="208"/>
      <c r="B680" s="190"/>
      <c r="C680" s="190"/>
      <c r="D680" s="190"/>
      <c r="E680" s="190"/>
      <c r="F680" s="209"/>
      <c r="G680" s="190"/>
      <c r="H680" s="190"/>
      <c r="I680" s="190"/>
      <c r="J680" s="190"/>
      <c r="K680" s="190"/>
      <c r="L680" s="190"/>
      <c r="M680" s="190"/>
      <c r="N680" s="190"/>
      <c r="O680" s="190"/>
      <c r="P680" s="190"/>
      <c r="Q680" s="190"/>
      <c r="R680" s="190"/>
      <c r="S680" s="190"/>
      <c r="T680" s="190"/>
      <c r="U680" s="190"/>
      <c r="V680" s="190"/>
      <c r="W680" s="190"/>
      <c r="X680" s="190"/>
      <c r="Y680" s="190"/>
      <c r="Z680" s="190"/>
    </row>
    <row r="681">
      <c r="A681" s="208"/>
      <c r="B681" s="190"/>
      <c r="C681" s="190"/>
      <c r="D681" s="190"/>
      <c r="E681" s="190"/>
      <c r="F681" s="209"/>
      <c r="G681" s="190"/>
      <c r="H681" s="190"/>
      <c r="I681" s="190"/>
      <c r="J681" s="190"/>
      <c r="K681" s="190"/>
      <c r="L681" s="190"/>
      <c r="M681" s="190"/>
      <c r="N681" s="190"/>
      <c r="O681" s="190"/>
      <c r="P681" s="190"/>
      <c r="Q681" s="190"/>
      <c r="R681" s="190"/>
      <c r="S681" s="190"/>
      <c r="T681" s="190"/>
      <c r="U681" s="190"/>
      <c r="V681" s="190"/>
      <c r="W681" s="190"/>
      <c r="X681" s="190"/>
      <c r="Y681" s="190"/>
      <c r="Z681" s="190"/>
    </row>
    <row r="682">
      <c r="A682" s="208"/>
      <c r="B682" s="190"/>
      <c r="C682" s="190"/>
      <c r="D682" s="190"/>
      <c r="E682" s="190"/>
      <c r="F682" s="209"/>
      <c r="G682" s="190"/>
      <c r="H682" s="190"/>
      <c r="I682" s="190"/>
      <c r="J682" s="190"/>
      <c r="K682" s="190"/>
      <c r="L682" s="190"/>
      <c r="M682" s="190"/>
      <c r="N682" s="190"/>
      <c r="O682" s="190"/>
      <c r="P682" s="190"/>
      <c r="Q682" s="190"/>
      <c r="R682" s="190"/>
      <c r="S682" s="190"/>
      <c r="T682" s="190"/>
      <c r="U682" s="190"/>
      <c r="V682" s="190"/>
      <c r="W682" s="190"/>
      <c r="X682" s="190"/>
      <c r="Y682" s="190"/>
      <c r="Z682" s="190"/>
    </row>
    <row r="683">
      <c r="A683" s="208"/>
      <c r="B683" s="190"/>
      <c r="C683" s="190"/>
      <c r="D683" s="190"/>
      <c r="E683" s="190"/>
      <c r="F683" s="209"/>
      <c r="G683" s="190"/>
      <c r="H683" s="190"/>
      <c r="I683" s="190"/>
      <c r="J683" s="190"/>
      <c r="K683" s="190"/>
      <c r="L683" s="190"/>
      <c r="M683" s="190"/>
      <c r="N683" s="190"/>
      <c r="O683" s="190"/>
      <c r="P683" s="190"/>
      <c r="Q683" s="190"/>
      <c r="R683" s="190"/>
      <c r="S683" s="190"/>
      <c r="T683" s="190"/>
      <c r="U683" s="190"/>
      <c r="V683" s="190"/>
      <c r="W683" s="190"/>
      <c r="X683" s="190"/>
      <c r="Y683" s="190"/>
      <c r="Z683" s="190"/>
    </row>
    <row r="684">
      <c r="A684" s="208"/>
      <c r="B684" s="190"/>
      <c r="C684" s="190"/>
      <c r="D684" s="190"/>
      <c r="E684" s="190"/>
      <c r="F684" s="209"/>
      <c r="G684" s="190"/>
      <c r="H684" s="190"/>
      <c r="I684" s="190"/>
      <c r="J684" s="190"/>
      <c r="K684" s="190"/>
      <c r="L684" s="190"/>
      <c r="M684" s="190"/>
      <c r="N684" s="190"/>
      <c r="O684" s="190"/>
      <c r="P684" s="190"/>
      <c r="Q684" s="190"/>
      <c r="R684" s="190"/>
      <c r="S684" s="190"/>
      <c r="T684" s="190"/>
      <c r="U684" s="190"/>
      <c r="V684" s="190"/>
      <c r="W684" s="190"/>
      <c r="X684" s="190"/>
      <c r="Y684" s="190"/>
      <c r="Z684" s="190"/>
    </row>
    <row r="685">
      <c r="A685" s="208"/>
      <c r="B685" s="190"/>
      <c r="C685" s="190"/>
      <c r="D685" s="190"/>
      <c r="E685" s="190"/>
      <c r="F685" s="209"/>
      <c r="G685" s="190"/>
      <c r="H685" s="190"/>
      <c r="I685" s="190"/>
      <c r="J685" s="190"/>
      <c r="K685" s="190"/>
      <c r="L685" s="190"/>
      <c r="M685" s="190"/>
      <c r="N685" s="190"/>
      <c r="O685" s="190"/>
      <c r="P685" s="190"/>
      <c r="Q685" s="190"/>
      <c r="R685" s="190"/>
      <c r="S685" s="190"/>
      <c r="T685" s="190"/>
      <c r="U685" s="190"/>
      <c r="V685" s="190"/>
      <c r="W685" s="190"/>
      <c r="X685" s="190"/>
      <c r="Y685" s="190"/>
      <c r="Z685" s="190"/>
    </row>
    <row r="686">
      <c r="A686" s="208"/>
      <c r="B686" s="190"/>
      <c r="C686" s="190"/>
      <c r="D686" s="190"/>
      <c r="E686" s="190"/>
      <c r="F686" s="209"/>
      <c r="G686" s="190"/>
      <c r="H686" s="190"/>
      <c r="I686" s="190"/>
      <c r="J686" s="190"/>
      <c r="K686" s="190"/>
      <c r="L686" s="190"/>
      <c r="M686" s="190"/>
      <c r="N686" s="190"/>
      <c r="O686" s="190"/>
      <c r="P686" s="190"/>
      <c r="Q686" s="190"/>
      <c r="R686" s="190"/>
      <c r="S686" s="190"/>
      <c r="T686" s="190"/>
      <c r="U686" s="190"/>
      <c r="V686" s="190"/>
      <c r="W686" s="190"/>
      <c r="X686" s="190"/>
      <c r="Y686" s="190"/>
      <c r="Z686" s="190"/>
    </row>
    <row r="687">
      <c r="A687" s="208"/>
      <c r="B687" s="190"/>
      <c r="C687" s="190"/>
      <c r="D687" s="190"/>
      <c r="E687" s="190"/>
      <c r="F687" s="209"/>
      <c r="G687" s="190"/>
      <c r="H687" s="190"/>
      <c r="I687" s="190"/>
      <c r="J687" s="190"/>
      <c r="K687" s="190"/>
      <c r="L687" s="190"/>
      <c r="M687" s="190"/>
      <c r="N687" s="190"/>
      <c r="O687" s="190"/>
      <c r="P687" s="190"/>
      <c r="Q687" s="190"/>
      <c r="R687" s="190"/>
      <c r="S687" s="190"/>
      <c r="T687" s="190"/>
      <c r="U687" s="190"/>
      <c r="V687" s="190"/>
      <c r="W687" s="190"/>
      <c r="X687" s="190"/>
      <c r="Y687" s="190"/>
      <c r="Z687" s="190"/>
    </row>
    <row r="688">
      <c r="A688" s="208"/>
      <c r="B688" s="190"/>
      <c r="C688" s="190"/>
      <c r="D688" s="190"/>
      <c r="E688" s="190"/>
      <c r="F688" s="209"/>
      <c r="G688" s="190"/>
      <c r="H688" s="190"/>
      <c r="I688" s="190"/>
      <c r="J688" s="190"/>
      <c r="K688" s="190"/>
      <c r="L688" s="190"/>
      <c r="M688" s="190"/>
      <c r="N688" s="190"/>
      <c r="O688" s="190"/>
      <c r="P688" s="190"/>
      <c r="Q688" s="190"/>
      <c r="R688" s="190"/>
      <c r="S688" s="190"/>
      <c r="T688" s="190"/>
      <c r="U688" s="190"/>
      <c r="V688" s="190"/>
      <c r="W688" s="190"/>
      <c r="X688" s="190"/>
      <c r="Y688" s="190"/>
      <c r="Z688" s="190"/>
    </row>
    <row r="689">
      <c r="A689" s="208"/>
      <c r="B689" s="190"/>
      <c r="C689" s="190"/>
      <c r="D689" s="190"/>
      <c r="E689" s="190"/>
      <c r="F689" s="209"/>
      <c r="G689" s="190"/>
      <c r="H689" s="190"/>
      <c r="I689" s="190"/>
      <c r="J689" s="190"/>
      <c r="K689" s="190"/>
      <c r="L689" s="190"/>
      <c r="M689" s="190"/>
      <c r="N689" s="190"/>
      <c r="O689" s="190"/>
      <c r="P689" s="190"/>
      <c r="Q689" s="190"/>
      <c r="R689" s="190"/>
      <c r="S689" s="190"/>
      <c r="T689" s="190"/>
      <c r="U689" s="190"/>
      <c r="V689" s="190"/>
      <c r="W689" s="190"/>
      <c r="X689" s="190"/>
      <c r="Y689" s="190"/>
      <c r="Z689" s="190"/>
    </row>
    <row r="690">
      <c r="A690" s="208"/>
      <c r="B690" s="190"/>
      <c r="C690" s="190"/>
      <c r="D690" s="190"/>
      <c r="E690" s="190"/>
      <c r="F690" s="209"/>
      <c r="G690" s="190"/>
      <c r="H690" s="190"/>
      <c r="I690" s="190"/>
      <c r="J690" s="190"/>
      <c r="K690" s="190"/>
      <c r="L690" s="190"/>
      <c r="M690" s="190"/>
      <c r="N690" s="190"/>
      <c r="O690" s="190"/>
      <c r="P690" s="190"/>
      <c r="Q690" s="190"/>
      <c r="R690" s="190"/>
      <c r="S690" s="190"/>
      <c r="T690" s="190"/>
      <c r="U690" s="190"/>
      <c r="V690" s="190"/>
      <c r="W690" s="190"/>
      <c r="X690" s="190"/>
      <c r="Y690" s="190"/>
      <c r="Z690" s="190"/>
    </row>
    <row r="691">
      <c r="A691" s="208"/>
      <c r="B691" s="190"/>
      <c r="C691" s="190"/>
      <c r="D691" s="190"/>
      <c r="E691" s="190"/>
      <c r="F691" s="209"/>
      <c r="G691" s="190"/>
      <c r="H691" s="190"/>
      <c r="I691" s="190"/>
      <c r="J691" s="190"/>
      <c r="K691" s="190"/>
      <c r="L691" s="190"/>
      <c r="M691" s="190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</row>
    <row r="692">
      <c r="A692" s="208"/>
      <c r="B692" s="190"/>
      <c r="C692" s="190"/>
      <c r="D692" s="190"/>
      <c r="E692" s="190"/>
      <c r="F692" s="209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</row>
    <row r="693">
      <c r="A693" s="208"/>
      <c r="B693" s="190"/>
      <c r="C693" s="190"/>
      <c r="D693" s="190"/>
      <c r="E693" s="190"/>
      <c r="F693" s="209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</row>
    <row r="694">
      <c r="A694" s="208"/>
      <c r="B694" s="190"/>
      <c r="C694" s="190"/>
      <c r="D694" s="190"/>
      <c r="E694" s="190"/>
      <c r="F694" s="209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</row>
    <row r="695">
      <c r="A695" s="208"/>
      <c r="B695" s="190"/>
      <c r="C695" s="190"/>
      <c r="D695" s="190"/>
      <c r="E695" s="190"/>
      <c r="F695" s="209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</row>
    <row r="696">
      <c r="A696" s="208"/>
      <c r="B696" s="190"/>
      <c r="C696" s="190"/>
      <c r="D696" s="190"/>
      <c r="E696" s="190"/>
      <c r="F696" s="209"/>
      <c r="G696" s="190"/>
      <c r="H696" s="190"/>
      <c r="I696" s="190"/>
      <c r="J696" s="190"/>
      <c r="K696" s="190"/>
      <c r="L696" s="190"/>
      <c r="M696" s="190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</row>
    <row r="697">
      <c r="A697" s="208"/>
      <c r="B697" s="190"/>
      <c r="C697" s="190"/>
      <c r="D697" s="190"/>
      <c r="E697" s="190"/>
      <c r="F697" s="209"/>
      <c r="G697" s="190"/>
      <c r="H697" s="190"/>
      <c r="I697" s="190"/>
      <c r="J697" s="190"/>
      <c r="K697" s="190"/>
      <c r="L697" s="190"/>
      <c r="M697" s="190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</row>
    <row r="698">
      <c r="A698" s="208"/>
      <c r="B698" s="190"/>
      <c r="C698" s="190"/>
      <c r="D698" s="190"/>
      <c r="E698" s="190"/>
      <c r="F698" s="209"/>
      <c r="G698" s="190"/>
      <c r="H698" s="190"/>
      <c r="I698" s="190"/>
      <c r="J698" s="190"/>
      <c r="K698" s="190"/>
      <c r="L698" s="190"/>
      <c r="M698" s="190"/>
      <c r="N698" s="190"/>
      <c r="O698" s="190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</row>
    <row r="699">
      <c r="A699" s="208"/>
      <c r="B699" s="190"/>
      <c r="C699" s="190"/>
      <c r="D699" s="190"/>
      <c r="E699" s="190"/>
      <c r="F699" s="209"/>
      <c r="G699" s="190"/>
      <c r="H699" s="190"/>
      <c r="I699" s="190"/>
      <c r="J699" s="190"/>
      <c r="K699" s="190"/>
      <c r="L699" s="190"/>
      <c r="M699" s="190"/>
      <c r="N699" s="190"/>
      <c r="O699" s="190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</row>
    <row r="700">
      <c r="A700" s="208"/>
      <c r="B700" s="190"/>
      <c r="C700" s="190"/>
      <c r="D700" s="190"/>
      <c r="E700" s="190"/>
      <c r="F700" s="209"/>
      <c r="G700" s="190"/>
      <c r="H700" s="190"/>
      <c r="I700" s="190"/>
      <c r="J700" s="190"/>
      <c r="K700" s="190"/>
      <c r="L700" s="190"/>
      <c r="M700" s="190"/>
      <c r="N700" s="190"/>
      <c r="O700" s="190"/>
      <c r="P700" s="190"/>
      <c r="Q700" s="190"/>
      <c r="R700" s="190"/>
      <c r="S700" s="190"/>
      <c r="T700" s="190"/>
      <c r="U700" s="190"/>
      <c r="V700" s="190"/>
      <c r="W700" s="190"/>
      <c r="X700" s="190"/>
      <c r="Y700" s="190"/>
      <c r="Z700" s="190"/>
    </row>
    <row r="701">
      <c r="A701" s="208"/>
      <c r="B701" s="190"/>
      <c r="C701" s="190"/>
      <c r="D701" s="190"/>
      <c r="E701" s="190"/>
      <c r="F701" s="209"/>
      <c r="G701" s="190"/>
      <c r="H701" s="190"/>
      <c r="I701" s="190"/>
      <c r="J701" s="190"/>
      <c r="K701" s="190"/>
      <c r="L701" s="190"/>
      <c r="M701" s="190"/>
      <c r="N701" s="190"/>
      <c r="O701" s="190"/>
      <c r="P701" s="190"/>
      <c r="Q701" s="190"/>
      <c r="R701" s="190"/>
      <c r="S701" s="190"/>
      <c r="T701" s="190"/>
      <c r="U701" s="190"/>
      <c r="V701" s="190"/>
      <c r="W701" s="190"/>
      <c r="X701" s="190"/>
      <c r="Y701" s="190"/>
      <c r="Z701" s="190"/>
    </row>
    <row r="702">
      <c r="A702" s="208"/>
      <c r="B702" s="190"/>
      <c r="C702" s="190"/>
      <c r="D702" s="190"/>
      <c r="E702" s="190"/>
      <c r="F702" s="209"/>
      <c r="G702" s="190"/>
      <c r="H702" s="190"/>
      <c r="I702" s="190"/>
      <c r="J702" s="190"/>
      <c r="K702" s="190"/>
      <c r="L702" s="190"/>
      <c r="M702" s="190"/>
      <c r="N702" s="190"/>
      <c r="O702" s="190"/>
      <c r="P702" s="190"/>
      <c r="Q702" s="190"/>
      <c r="R702" s="190"/>
      <c r="S702" s="190"/>
      <c r="T702" s="190"/>
      <c r="U702" s="190"/>
      <c r="V702" s="190"/>
      <c r="W702" s="190"/>
      <c r="X702" s="190"/>
      <c r="Y702" s="190"/>
      <c r="Z702" s="190"/>
    </row>
    <row r="703">
      <c r="A703" s="208"/>
      <c r="B703" s="190"/>
      <c r="C703" s="190"/>
      <c r="D703" s="190"/>
      <c r="E703" s="190"/>
      <c r="F703" s="209"/>
      <c r="G703" s="190"/>
      <c r="H703" s="190"/>
      <c r="I703" s="190"/>
      <c r="J703" s="190"/>
      <c r="K703" s="190"/>
      <c r="L703" s="190"/>
      <c r="M703" s="190"/>
      <c r="N703" s="190"/>
      <c r="O703" s="190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</row>
    <row r="704">
      <c r="A704" s="208"/>
      <c r="B704" s="190"/>
      <c r="C704" s="190"/>
      <c r="D704" s="190"/>
      <c r="E704" s="190"/>
      <c r="F704" s="209"/>
      <c r="G704" s="190"/>
      <c r="H704" s="190"/>
      <c r="I704" s="190"/>
      <c r="J704" s="190"/>
      <c r="K704" s="190"/>
      <c r="L704" s="190"/>
      <c r="M704" s="190"/>
      <c r="N704" s="190"/>
      <c r="O704" s="190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</row>
    <row r="705">
      <c r="A705" s="208"/>
      <c r="B705" s="190"/>
      <c r="C705" s="190"/>
      <c r="D705" s="190"/>
      <c r="E705" s="190"/>
      <c r="F705" s="209"/>
      <c r="G705" s="190"/>
      <c r="H705" s="190"/>
      <c r="I705" s="190"/>
      <c r="J705" s="190"/>
      <c r="K705" s="190"/>
      <c r="L705" s="190"/>
      <c r="M705" s="190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</row>
    <row r="706">
      <c r="A706" s="208"/>
      <c r="B706" s="190"/>
      <c r="C706" s="190"/>
      <c r="D706" s="190"/>
      <c r="E706" s="190"/>
      <c r="F706" s="209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</row>
    <row r="707">
      <c r="A707" s="208"/>
      <c r="B707" s="190"/>
      <c r="C707" s="190"/>
      <c r="D707" s="190"/>
      <c r="E707" s="190"/>
      <c r="F707" s="209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</row>
    <row r="708">
      <c r="A708" s="208"/>
      <c r="B708" s="190"/>
      <c r="C708" s="190"/>
      <c r="D708" s="190"/>
      <c r="E708" s="190"/>
      <c r="F708" s="209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</row>
    <row r="709">
      <c r="A709" s="208"/>
      <c r="B709" s="190"/>
      <c r="C709" s="190"/>
      <c r="D709" s="190"/>
      <c r="E709" s="190"/>
      <c r="F709" s="209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</row>
    <row r="710">
      <c r="A710" s="208"/>
      <c r="B710" s="190"/>
      <c r="C710" s="190"/>
      <c r="D710" s="190"/>
      <c r="E710" s="190"/>
      <c r="F710" s="209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</row>
    <row r="711">
      <c r="A711" s="208"/>
      <c r="B711" s="190"/>
      <c r="C711" s="190"/>
      <c r="D711" s="190"/>
      <c r="E711" s="190"/>
      <c r="F711" s="209"/>
      <c r="G711" s="190"/>
      <c r="H711" s="190"/>
      <c r="I711" s="190"/>
      <c r="J711" s="190"/>
      <c r="K711" s="190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</row>
    <row r="712">
      <c r="A712" s="208"/>
      <c r="B712" s="190"/>
      <c r="C712" s="190"/>
      <c r="D712" s="190"/>
      <c r="E712" s="190"/>
      <c r="F712" s="209"/>
      <c r="G712" s="190"/>
      <c r="H712" s="190"/>
      <c r="I712" s="190"/>
      <c r="J712" s="190"/>
      <c r="K712" s="190"/>
      <c r="L712" s="190"/>
      <c r="M712" s="190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</row>
    <row r="713">
      <c r="A713" s="208"/>
      <c r="B713" s="190"/>
      <c r="C713" s="190"/>
      <c r="D713" s="190"/>
      <c r="E713" s="190"/>
      <c r="F713" s="209"/>
      <c r="G713" s="190"/>
      <c r="H713" s="190"/>
      <c r="I713" s="190"/>
      <c r="J713" s="190"/>
      <c r="K713" s="190"/>
      <c r="L713" s="190"/>
      <c r="M713" s="190"/>
      <c r="N713" s="190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</row>
    <row r="714">
      <c r="A714" s="208"/>
      <c r="B714" s="190"/>
      <c r="C714" s="190"/>
      <c r="D714" s="190"/>
      <c r="E714" s="190"/>
      <c r="F714" s="209"/>
      <c r="G714" s="190"/>
      <c r="H714" s="190"/>
      <c r="I714" s="190"/>
      <c r="J714" s="190"/>
      <c r="K714" s="190"/>
      <c r="L714" s="190"/>
      <c r="M714" s="190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</row>
    <row r="715">
      <c r="A715" s="208"/>
      <c r="B715" s="190"/>
      <c r="C715" s="190"/>
      <c r="D715" s="190"/>
      <c r="E715" s="190"/>
      <c r="F715" s="209"/>
      <c r="G715" s="190"/>
      <c r="H715" s="190"/>
      <c r="I715" s="190"/>
      <c r="J715" s="190"/>
      <c r="K715" s="190"/>
      <c r="L715" s="190"/>
      <c r="M715" s="190"/>
      <c r="N715" s="190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</row>
    <row r="716">
      <c r="A716" s="208"/>
      <c r="B716" s="190"/>
      <c r="C716" s="190"/>
      <c r="D716" s="190"/>
      <c r="E716" s="190"/>
      <c r="F716" s="209"/>
      <c r="G716" s="190"/>
      <c r="H716" s="190"/>
      <c r="I716" s="190"/>
      <c r="J716" s="190"/>
      <c r="K716" s="190"/>
      <c r="L716" s="190"/>
      <c r="M716" s="190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</row>
    <row r="717">
      <c r="A717" s="208"/>
      <c r="B717" s="190"/>
      <c r="C717" s="190"/>
      <c r="D717" s="190"/>
      <c r="E717" s="190"/>
      <c r="F717" s="209"/>
      <c r="G717" s="190"/>
      <c r="H717" s="190"/>
      <c r="I717" s="190"/>
      <c r="J717" s="190"/>
      <c r="K717" s="190"/>
      <c r="L717" s="190"/>
      <c r="M717" s="190"/>
      <c r="N717" s="190"/>
      <c r="O717" s="190"/>
      <c r="P717" s="190"/>
      <c r="Q717" s="190"/>
      <c r="R717" s="190"/>
      <c r="S717" s="190"/>
      <c r="T717" s="190"/>
      <c r="U717" s="190"/>
      <c r="V717" s="190"/>
      <c r="W717" s="190"/>
      <c r="X717" s="190"/>
      <c r="Y717" s="190"/>
      <c r="Z717" s="190"/>
    </row>
    <row r="718">
      <c r="A718" s="208"/>
      <c r="B718" s="190"/>
      <c r="C718" s="190"/>
      <c r="D718" s="190"/>
      <c r="E718" s="190"/>
      <c r="F718" s="209"/>
      <c r="G718" s="190"/>
      <c r="H718" s="190"/>
      <c r="I718" s="190"/>
      <c r="J718" s="190"/>
      <c r="K718" s="190"/>
      <c r="L718" s="190"/>
      <c r="M718" s="190"/>
      <c r="N718" s="190"/>
      <c r="O718" s="190"/>
      <c r="P718" s="190"/>
      <c r="Q718" s="190"/>
      <c r="R718" s="190"/>
      <c r="S718" s="190"/>
      <c r="T718" s="190"/>
      <c r="U718" s="190"/>
      <c r="V718" s="190"/>
      <c r="W718" s="190"/>
      <c r="X718" s="190"/>
      <c r="Y718" s="190"/>
      <c r="Z718" s="190"/>
    </row>
    <row r="719">
      <c r="A719" s="208"/>
      <c r="B719" s="190"/>
      <c r="C719" s="190"/>
      <c r="D719" s="190"/>
      <c r="E719" s="190"/>
      <c r="F719" s="209"/>
      <c r="G719" s="190"/>
      <c r="H719" s="190"/>
      <c r="I719" s="190"/>
      <c r="J719" s="190"/>
      <c r="K719" s="190"/>
      <c r="L719" s="190"/>
      <c r="M719" s="190"/>
      <c r="N719" s="190"/>
      <c r="O719" s="190"/>
      <c r="P719" s="190"/>
      <c r="Q719" s="190"/>
      <c r="R719" s="190"/>
      <c r="S719" s="190"/>
      <c r="T719" s="190"/>
      <c r="U719" s="190"/>
      <c r="V719" s="190"/>
      <c r="W719" s="190"/>
      <c r="X719" s="190"/>
      <c r="Y719" s="190"/>
      <c r="Z719" s="190"/>
    </row>
    <row r="720">
      <c r="A720" s="208"/>
      <c r="B720" s="190"/>
      <c r="C720" s="190"/>
      <c r="D720" s="190"/>
      <c r="E720" s="190"/>
      <c r="F720" s="209"/>
      <c r="G720" s="190"/>
      <c r="H720" s="190"/>
      <c r="I720" s="190"/>
      <c r="J720" s="190"/>
      <c r="K720" s="190"/>
      <c r="L720" s="190"/>
      <c r="M720" s="190"/>
      <c r="N720" s="190"/>
      <c r="O720" s="190"/>
      <c r="P720" s="190"/>
      <c r="Q720" s="190"/>
      <c r="R720" s="190"/>
      <c r="S720" s="190"/>
      <c r="T720" s="190"/>
      <c r="U720" s="190"/>
      <c r="V720" s="190"/>
      <c r="W720" s="190"/>
      <c r="X720" s="190"/>
      <c r="Y720" s="190"/>
      <c r="Z720" s="190"/>
    </row>
    <row r="721">
      <c r="A721" s="208"/>
      <c r="B721" s="190"/>
      <c r="C721" s="190"/>
      <c r="D721" s="190"/>
      <c r="E721" s="190"/>
      <c r="F721" s="209"/>
      <c r="G721" s="190"/>
      <c r="H721" s="190"/>
      <c r="I721" s="190"/>
      <c r="J721" s="190"/>
      <c r="K721" s="190"/>
      <c r="L721" s="190"/>
      <c r="M721" s="190"/>
      <c r="N721" s="190"/>
      <c r="O721" s="190"/>
      <c r="P721" s="190"/>
      <c r="Q721" s="190"/>
      <c r="R721" s="190"/>
      <c r="S721" s="190"/>
      <c r="T721" s="190"/>
      <c r="U721" s="190"/>
      <c r="V721" s="190"/>
      <c r="W721" s="190"/>
      <c r="X721" s="190"/>
      <c r="Y721" s="190"/>
      <c r="Z721" s="190"/>
    </row>
    <row r="722">
      <c r="A722" s="208"/>
      <c r="B722" s="190"/>
      <c r="C722" s="190"/>
      <c r="D722" s="190"/>
      <c r="E722" s="190"/>
      <c r="F722" s="209"/>
      <c r="G722" s="190"/>
      <c r="H722" s="190"/>
      <c r="I722" s="190"/>
      <c r="J722" s="190"/>
      <c r="K722" s="190"/>
      <c r="L722" s="190"/>
      <c r="M722" s="190"/>
      <c r="N722" s="190"/>
      <c r="O722" s="190"/>
      <c r="P722" s="190"/>
      <c r="Q722" s="190"/>
      <c r="R722" s="190"/>
      <c r="S722" s="190"/>
      <c r="T722" s="190"/>
      <c r="U722" s="190"/>
      <c r="V722" s="190"/>
      <c r="W722" s="190"/>
      <c r="X722" s="190"/>
      <c r="Y722" s="190"/>
      <c r="Z722" s="190"/>
    </row>
    <row r="723">
      <c r="A723" s="208"/>
      <c r="B723" s="190"/>
      <c r="C723" s="190"/>
      <c r="D723" s="190"/>
      <c r="E723" s="190"/>
      <c r="F723" s="209"/>
      <c r="G723" s="190"/>
      <c r="H723" s="190"/>
      <c r="I723" s="190"/>
      <c r="J723" s="190"/>
      <c r="K723" s="190"/>
      <c r="L723" s="190"/>
      <c r="M723" s="190"/>
      <c r="N723" s="190"/>
      <c r="O723" s="190"/>
      <c r="P723" s="190"/>
      <c r="Q723" s="190"/>
      <c r="R723" s="190"/>
      <c r="S723" s="190"/>
      <c r="T723" s="190"/>
      <c r="U723" s="190"/>
      <c r="V723" s="190"/>
      <c r="W723" s="190"/>
      <c r="X723" s="190"/>
      <c r="Y723" s="190"/>
      <c r="Z723" s="190"/>
    </row>
    <row r="724">
      <c r="A724" s="208"/>
      <c r="B724" s="190"/>
      <c r="C724" s="190"/>
      <c r="D724" s="190"/>
      <c r="E724" s="190"/>
      <c r="F724" s="209"/>
      <c r="G724" s="190"/>
      <c r="H724" s="190"/>
      <c r="I724" s="190"/>
      <c r="J724" s="190"/>
      <c r="K724" s="190"/>
      <c r="L724" s="190"/>
      <c r="M724" s="190"/>
      <c r="N724" s="190"/>
      <c r="O724" s="190"/>
      <c r="P724" s="190"/>
      <c r="Q724" s="190"/>
      <c r="R724" s="190"/>
      <c r="S724" s="190"/>
      <c r="T724" s="190"/>
      <c r="U724" s="190"/>
      <c r="V724" s="190"/>
      <c r="W724" s="190"/>
      <c r="X724" s="190"/>
      <c r="Y724" s="190"/>
      <c r="Z724" s="190"/>
    </row>
    <row r="725">
      <c r="A725" s="208"/>
      <c r="B725" s="190"/>
      <c r="C725" s="190"/>
      <c r="D725" s="190"/>
      <c r="E725" s="190"/>
      <c r="F725" s="209"/>
      <c r="G725" s="190"/>
      <c r="H725" s="190"/>
      <c r="I725" s="190"/>
      <c r="J725" s="190"/>
      <c r="K725" s="190"/>
      <c r="L725" s="190"/>
      <c r="M725" s="190"/>
      <c r="N725" s="190"/>
      <c r="O725" s="190"/>
      <c r="P725" s="190"/>
      <c r="Q725" s="190"/>
      <c r="R725" s="190"/>
      <c r="S725" s="190"/>
      <c r="T725" s="190"/>
      <c r="U725" s="190"/>
      <c r="V725" s="190"/>
      <c r="W725" s="190"/>
      <c r="X725" s="190"/>
      <c r="Y725" s="190"/>
      <c r="Z725" s="190"/>
    </row>
    <row r="726">
      <c r="A726" s="208"/>
      <c r="B726" s="190"/>
      <c r="C726" s="190"/>
      <c r="D726" s="190"/>
      <c r="E726" s="190"/>
      <c r="F726" s="209"/>
      <c r="G726" s="190"/>
      <c r="H726" s="190"/>
      <c r="I726" s="190"/>
      <c r="J726" s="190"/>
      <c r="K726" s="190"/>
      <c r="L726" s="190"/>
      <c r="M726" s="190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</row>
    <row r="727">
      <c r="A727" s="208"/>
      <c r="B727" s="190"/>
      <c r="C727" s="190"/>
      <c r="D727" s="190"/>
      <c r="E727" s="190"/>
      <c r="F727" s="209"/>
      <c r="G727" s="190"/>
      <c r="H727" s="190"/>
      <c r="I727" s="190"/>
      <c r="J727" s="190"/>
      <c r="K727" s="190"/>
      <c r="L727" s="190"/>
      <c r="M727" s="190"/>
      <c r="N727" s="190"/>
      <c r="O727" s="190"/>
      <c r="P727" s="190"/>
      <c r="Q727" s="190"/>
      <c r="R727" s="190"/>
      <c r="S727" s="190"/>
      <c r="T727" s="190"/>
      <c r="U727" s="190"/>
      <c r="V727" s="190"/>
      <c r="W727" s="190"/>
      <c r="X727" s="190"/>
      <c r="Y727" s="190"/>
      <c r="Z727" s="190"/>
    </row>
    <row r="728">
      <c r="A728" s="208"/>
      <c r="B728" s="190"/>
      <c r="C728" s="190"/>
      <c r="D728" s="190"/>
      <c r="E728" s="190"/>
      <c r="F728" s="209"/>
      <c r="G728" s="190"/>
      <c r="H728" s="190"/>
      <c r="I728" s="190"/>
      <c r="J728" s="190"/>
      <c r="K728" s="190"/>
      <c r="L728" s="190"/>
      <c r="M728" s="190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</row>
    <row r="729">
      <c r="A729" s="208"/>
      <c r="B729" s="190"/>
      <c r="C729" s="190"/>
      <c r="D729" s="190"/>
      <c r="E729" s="190"/>
      <c r="F729" s="209"/>
      <c r="G729" s="190"/>
      <c r="H729" s="190"/>
      <c r="I729" s="190"/>
      <c r="J729" s="190"/>
      <c r="K729" s="190"/>
      <c r="L729" s="190"/>
      <c r="M729" s="190"/>
      <c r="N729" s="190"/>
      <c r="O729" s="190"/>
      <c r="P729" s="190"/>
      <c r="Q729" s="190"/>
      <c r="R729" s="190"/>
      <c r="S729" s="190"/>
      <c r="T729" s="190"/>
      <c r="U729" s="190"/>
      <c r="V729" s="190"/>
      <c r="W729" s="190"/>
      <c r="X729" s="190"/>
      <c r="Y729" s="190"/>
      <c r="Z729" s="190"/>
    </row>
    <row r="730">
      <c r="A730" s="208"/>
      <c r="B730" s="190"/>
      <c r="C730" s="190"/>
      <c r="D730" s="190"/>
      <c r="E730" s="190"/>
      <c r="F730" s="209"/>
      <c r="G730" s="190"/>
      <c r="H730" s="190"/>
      <c r="I730" s="190"/>
      <c r="J730" s="190"/>
      <c r="K730" s="190"/>
      <c r="L730" s="190"/>
      <c r="M730" s="190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</row>
    <row r="731">
      <c r="A731" s="208"/>
      <c r="B731" s="190"/>
      <c r="C731" s="190"/>
      <c r="D731" s="190"/>
      <c r="E731" s="190"/>
      <c r="F731" s="209"/>
      <c r="G731" s="190"/>
      <c r="H731" s="190"/>
      <c r="I731" s="190"/>
      <c r="J731" s="190"/>
      <c r="K731" s="190"/>
      <c r="L731" s="190"/>
      <c r="M731" s="190"/>
      <c r="N731" s="190"/>
      <c r="O731" s="190"/>
      <c r="P731" s="190"/>
      <c r="Q731" s="190"/>
      <c r="R731" s="190"/>
      <c r="S731" s="190"/>
      <c r="T731" s="190"/>
      <c r="U731" s="190"/>
      <c r="V731" s="190"/>
      <c r="W731" s="190"/>
      <c r="X731" s="190"/>
      <c r="Y731" s="190"/>
      <c r="Z731" s="190"/>
    </row>
    <row r="732">
      <c r="A732" s="208"/>
      <c r="B732" s="190"/>
      <c r="C732" s="190"/>
      <c r="D732" s="190"/>
      <c r="E732" s="190"/>
      <c r="F732" s="209"/>
      <c r="G732" s="190"/>
      <c r="H732" s="190"/>
      <c r="I732" s="190"/>
      <c r="J732" s="190"/>
      <c r="K732" s="190"/>
      <c r="L732" s="190"/>
      <c r="M732" s="190"/>
      <c r="N732" s="190"/>
      <c r="O732" s="190"/>
      <c r="P732" s="190"/>
      <c r="Q732" s="190"/>
      <c r="R732" s="190"/>
      <c r="S732" s="190"/>
      <c r="T732" s="190"/>
      <c r="U732" s="190"/>
      <c r="V732" s="190"/>
      <c r="W732" s="190"/>
      <c r="X732" s="190"/>
      <c r="Y732" s="190"/>
      <c r="Z732" s="190"/>
    </row>
    <row r="733">
      <c r="A733" s="208"/>
      <c r="B733" s="190"/>
      <c r="C733" s="190"/>
      <c r="D733" s="190"/>
      <c r="E733" s="190"/>
      <c r="F733" s="209"/>
      <c r="G733" s="190"/>
      <c r="H733" s="190"/>
      <c r="I733" s="190"/>
      <c r="J733" s="190"/>
      <c r="K733" s="190"/>
      <c r="L733" s="190"/>
      <c r="M733" s="190"/>
      <c r="N733" s="190"/>
      <c r="O733" s="190"/>
      <c r="P733" s="190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</row>
    <row r="734">
      <c r="A734" s="208"/>
      <c r="B734" s="190"/>
      <c r="C734" s="190"/>
      <c r="D734" s="190"/>
      <c r="E734" s="190"/>
      <c r="F734" s="209"/>
      <c r="G734" s="190"/>
      <c r="H734" s="190"/>
      <c r="I734" s="190"/>
      <c r="J734" s="190"/>
      <c r="K734" s="190"/>
      <c r="L734" s="190"/>
      <c r="M734" s="190"/>
      <c r="N734" s="190"/>
      <c r="O734" s="190"/>
      <c r="P734" s="190"/>
      <c r="Q734" s="190"/>
      <c r="R734" s="190"/>
      <c r="S734" s="190"/>
      <c r="T734" s="190"/>
      <c r="U734" s="190"/>
      <c r="V734" s="190"/>
      <c r="W734" s="190"/>
      <c r="X734" s="190"/>
      <c r="Y734" s="190"/>
      <c r="Z734" s="190"/>
    </row>
    <row r="735">
      <c r="A735" s="208"/>
      <c r="B735" s="190"/>
      <c r="C735" s="190"/>
      <c r="D735" s="190"/>
      <c r="E735" s="190"/>
      <c r="F735" s="209"/>
      <c r="G735" s="190"/>
      <c r="H735" s="190"/>
      <c r="I735" s="190"/>
      <c r="J735" s="190"/>
      <c r="K735" s="190"/>
      <c r="L735" s="190"/>
      <c r="M735" s="190"/>
      <c r="N735" s="190"/>
      <c r="O735" s="190"/>
      <c r="P735" s="190"/>
      <c r="Q735" s="190"/>
      <c r="R735" s="190"/>
      <c r="S735" s="190"/>
      <c r="T735" s="190"/>
      <c r="U735" s="190"/>
      <c r="V735" s="190"/>
      <c r="W735" s="190"/>
      <c r="X735" s="190"/>
      <c r="Y735" s="190"/>
      <c r="Z735" s="190"/>
    </row>
    <row r="736">
      <c r="A736" s="208"/>
      <c r="B736" s="190"/>
      <c r="C736" s="190"/>
      <c r="D736" s="190"/>
      <c r="E736" s="190"/>
      <c r="F736" s="209"/>
      <c r="G736" s="190"/>
      <c r="H736" s="190"/>
      <c r="I736" s="190"/>
      <c r="J736" s="190"/>
      <c r="K736" s="190"/>
      <c r="L736" s="190"/>
      <c r="M736" s="190"/>
      <c r="N736" s="190"/>
      <c r="O736" s="190"/>
      <c r="P736" s="190"/>
      <c r="Q736" s="190"/>
      <c r="R736" s="190"/>
      <c r="S736" s="190"/>
      <c r="T736" s="190"/>
      <c r="U736" s="190"/>
      <c r="V736" s="190"/>
      <c r="W736" s="190"/>
      <c r="X736" s="190"/>
      <c r="Y736" s="190"/>
      <c r="Z736" s="190"/>
    </row>
    <row r="737">
      <c r="A737" s="208"/>
      <c r="B737" s="190"/>
      <c r="C737" s="190"/>
      <c r="D737" s="190"/>
      <c r="E737" s="190"/>
      <c r="F737" s="209"/>
      <c r="G737" s="190"/>
      <c r="H737" s="190"/>
      <c r="I737" s="190"/>
      <c r="J737" s="190"/>
      <c r="K737" s="190"/>
      <c r="L737" s="190"/>
      <c r="M737" s="190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0"/>
      <c r="Z737" s="190"/>
    </row>
    <row r="738">
      <c r="A738" s="208"/>
      <c r="B738" s="190"/>
      <c r="C738" s="190"/>
      <c r="D738" s="190"/>
      <c r="E738" s="190"/>
      <c r="F738" s="209"/>
      <c r="G738" s="190"/>
      <c r="H738" s="190"/>
      <c r="I738" s="190"/>
      <c r="J738" s="190"/>
      <c r="K738" s="190"/>
      <c r="L738" s="190"/>
      <c r="M738" s="190"/>
      <c r="N738" s="190"/>
      <c r="O738" s="190"/>
      <c r="P738" s="190"/>
      <c r="Q738" s="190"/>
      <c r="R738" s="190"/>
      <c r="S738" s="190"/>
      <c r="T738" s="190"/>
      <c r="U738" s="190"/>
      <c r="V738" s="190"/>
      <c r="W738" s="190"/>
      <c r="X738" s="190"/>
      <c r="Y738" s="190"/>
      <c r="Z738" s="190"/>
    </row>
    <row r="739">
      <c r="A739" s="208"/>
      <c r="B739" s="190"/>
      <c r="C739" s="190"/>
      <c r="D739" s="190"/>
      <c r="E739" s="190"/>
      <c r="F739" s="209"/>
      <c r="G739" s="190"/>
      <c r="H739" s="190"/>
      <c r="I739" s="190"/>
      <c r="J739" s="190"/>
      <c r="K739" s="190"/>
      <c r="L739" s="190"/>
      <c r="M739" s="190"/>
      <c r="N739" s="190"/>
      <c r="O739" s="190"/>
      <c r="P739" s="190"/>
      <c r="Q739" s="190"/>
      <c r="R739" s="190"/>
      <c r="S739" s="190"/>
      <c r="T739" s="190"/>
      <c r="U739" s="190"/>
      <c r="V739" s="190"/>
      <c r="W739" s="190"/>
      <c r="X739" s="190"/>
      <c r="Y739" s="190"/>
      <c r="Z739" s="190"/>
    </row>
    <row r="740">
      <c r="A740" s="208"/>
      <c r="B740" s="190"/>
      <c r="C740" s="190"/>
      <c r="D740" s="190"/>
      <c r="E740" s="190"/>
      <c r="F740" s="209"/>
      <c r="G740" s="190"/>
      <c r="H740" s="190"/>
      <c r="I740" s="190"/>
      <c r="J740" s="190"/>
      <c r="K740" s="190"/>
      <c r="L740" s="190"/>
      <c r="M740" s="190"/>
      <c r="N740" s="190"/>
      <c r="O740" s="190"/>
      <c r="P740" s="190"/>
      <c r="Q740" s="190"/>
      <c r="R740" s="190"/>
      <c r="S740" s="190"/>
      <c r="T740" s="190"/>
      <c r="U740" s="190"/>
      <c r="V740" s="190"/>
      <c r="W740" s="190"/>
      <c r="X740" s="190"/>
      <c r="Y740" s="190"/>
      <c r="Z740" s="190"/>
    </row>
    <row r="741">
      <c r="A741" s="208"/>
      <c r="B741" s="190"/>
      <c r="C741" s="190"/>
      <c r="D741" s="190"/>
      <c r="E741" s="190"/>
      <c r="F741" s="209"/>
      <c r="G741" s="190"/>
      <c r="H741" s="190"/>
      <c r="I741" s="190"/>
      <c r="J741" s="190"/>
      <c r="K741" s="190"/>
      <c r="L741" s="190"/>
      <c r="M741" s="190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0"/>
      <c r="Z741" s="190"/>
    </row>
    <row r="742">
      <c r="A742" s="208"/>
      <c r="B742" s="190"/>
      <c r="C742" s="190"/>
      <c r="D742" s="190"/>
      <c r="E742" s="190"/>
      <c r="F742" s="209"/>
      <c r="G742" s="190"/>
      <c r="H742" s="190"/>
      <c r="I742" s="190"/>
      <c r="J742" s="190"/>
      <c r="K742" s="190"/>
      <c r="L742" s="190"/>
      <c r="M742" s="190"/>
      <c r="N742" s="190"/>
      <c r="O742" s="190"/>
      <c r="P742" s="190"/>
      <c r="Q742" s="190"/>
      <c r="R742" s="190"/>
      <c r="S742" s="190"/>
      <c r="T742" s="190"/>
      <c r="U742" s="190"/>
      <c r="V742" s="190"/>
      <c r="W742" s="190"/>
      <c r="X742" s="190"/>
      <c r="Y742" s="190"/>
      <c r="Z742" s="190"/>
    </row>
    <row r="743">
      <c r="A743" s="208"/>
      <c r="B743" s="190"/>
      <c r="C743" s="190"/>
      <c r="D743" s="190"/>
      <c r="E743" s="190"/>
      <c r="F743" s="209"/>
      <c r="G743" s="190"/>
      <c r="H743" s="190"/>
      <c r="I743" s="190"/>
      <c r="J743" s="190"/>
      <c r="K743" s="190"/>
      <c r="L743" s="190"/>
      <c r="M743" s="190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0"/>
      <c r="Z743" s="190"/>
    </row>
    <row r="744">
      <c r="A744" s="208"/>
      <c r="B744" s="190"/>
      <c r="C744" s="190"/>
      <c r="D744" s="190"/>
      <c r="E744" s="190"/>
      <c r="F744" s="209"/>
      <c r="G744" s="190"/>
      <c r="H744" s="190"/>
      <c r="I744" s="190"/>
      <c r="J744" s="190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</row>
    <row r="745">
      <c r="A745" s="208"/>
      <c r="B745" s="190"/>
      <c r="C745" s="190"/>
      <c r="D745" s="190"/>
      <c r="E745" s="190"/>
      <c r="F745" s="209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</row>
    <row r="746">
      <c r="A746" s="208"/>
      <c r="B746" s="190"/>
      <c r="C746" s="190"/>
      <c r="D746" s="190"/>
      <c r="E746" s="190"/>
      <c r="F746" s="209"/>
      <c r="G746" s="190"/>
      <c r="H746" s="190"/>
      <c r="I746" s="190"/>
      <c r="J746" s="190"/>
      <c r="K746" s="190"/>
      <c r="L746" s="190"/>
      <c r="M746" s="190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</row>
    <row r="747">
      <c r="A747" s="208"/>
      <c r="B747" s="190"/>
      <c r="C747" s="190"/>
      <c r="D747" s="190"/>
      <c r="E747" s="190"/>
      <c r="F747" s="209"/>
      <c r="G747" s="190"/>
      <c r="H747" s="190"/>
      <c r="I747" s="190"/>
      <c r="J747" s="190"/>
      <c r="K747" s="190"/>
      <c r="L747" s="190"/>
      <c r="M747" s="190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</row>
    <row r="748">
      <c r="A748" s="208"/>
      <c r="B748" s="190"/>
      <c r="C748" s="190"/>
      <c r="D748" s="190"/>
      <c r="E748" s="190"/>
      <c r="F748" s="209"/>
      <c r="G748" s="190"/>
      <c r="H748" s="190"/>
      <c r="I748" s="190"/>
      <c r="J748" s="190"/>
      <c r="K748" s="190"/>
      <c r="L748" s="190"/>
      <c r="M748" s="190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</row>
    <row r="749">
      <c r="A749" s="208"/>
      <c r="B749" s="190"/>
      <c r="C749" s="190"/>
      <c r="D749" s="190"/>
      <c r="E749" s="190"/>
      <c r="F749" s="209"/>
      <c r="G749" s="190"/>
      <c r="H749" s="190"/>
      <c r="I749" s="190"/>
      <c r="J749" s="190"/>
      <c r="K749" s="190"/>
      <c r="L749" s="190"/>
      <c r="M749" s="190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</row>
    <row r="750">
      <c r="A750" s="208"/>
      <c r="B750" s="190"/>
      <c r="C750" s="190"/>
      <c r="D750" s="190"/>
      <c r="E750" s="190"/>
      <c r="F750" s="209"/>
      <c r="G750" s="190"/>
      <c r="H750" s="190"/>
      <c r="I750" s="190"/>
      <c r="J750" s="190"/>
      <c r="K750" s="190"/>
      <c r="L750" s="190"/>
      <c r="M750" s="190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</row>
    <row r="751">
      <c r="A751" s="208"/>
      <c r="B751" s="190"/>
      <c r="C751" s="190"/>
      <c r="D751" s="190"/>
      <c r="E751" s="190"/>
      <c r="F751" s="209"/>
      <c r="G751" s="190"/>
      <c r="H751" s="190"/>
      <c r="I751" s="190"/>
      <c r="J751" s="190"/>
      <c r="K751" s="190"/>
      <c r="L751" s="190"/>
      <c r="M751" s="190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</row>
    <row r="752">
      <c r="A752" s="208"/>
      <c r="B752" s="190"/>
      <c r="C752" s="190"/>
      <c r="D752" s="190"/>
      <c r="E752" s="190"/>
      <c r="F752" s="209"/>
      <c r="G752" s="190"/>
      <c r="H752" s="190"/>
      <c r="I752" s="190"/>
      <c r="J752" s="190"/>
      <c r="K752" s="190"/>
      <c r="L752" s="190"/>
      <c r="M752" s="190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</row>
    <row r="753">
      <c r="A753" s="208"/>
      <c r="B753" s="190"/>
      <c r="C753" s="190"/>
      <c r="D753" s="190"/>
      <c r="E753" s="190"/>
      <c r="F753" s="209"/>
      <c r="G753" s="190"/>
      <c r="H753" s="190"/>
      <c r="I753" s="190"/>
      <c r="J753" s="190"/>
      <c r="K753" s="190"/>
      <c r="L753" s="190"/>
      <c r="M753" s="190"/>
      <c r="N753" s="190"/>
      <c r="O753" s="190"/>
      <c r="P753" s="190"/>
      <c r="Q753" s="190"/>
      <c r="R753" s="190"/>
      <c r="S753" s="190"/>
      <c r="T753" s="190"/>
      <c r="U753" s="190"/>
      <c r="V753" s="190"/>
      <c r="W753" s="190"/>
      <c r="X753" s="190"/>
      <c r="Y753" s="190"/>
      <c r="Z753" s="190"/>
    </row>
    <row r="754">
      <c r="A754" s="208"/>
      <c r="B754" s="190"/>
      <c r="C754" s="190"/>
      <c r="D754" s="190"/>
      <c r="E754" s="190"/>
      <c r="F754" s="209"/>
      <c r="G754" s="190"/>
      <c r="H754" s="190"/>
      <c r="I754" s="190"/>
      <c r="J754" s="190"/>
      <c r="K754" s="190"/>
      <c r="L754" s="190"/>
      <c r="M754" s="190"/>
      <c r="N754" s="190"/>
      <c r="O754" s="190"/>
      <c r="P754" s="190"/>
      <c r="Q754" s="190"/>
      <c r="R754" s="190"/>
      <c r="S754" s="190"/>
      <c r="T754" s="190"/>
      <c r="U754" s="190"/>
      <c r="V754" s="190"/>
      <c r="W754" s="190"/>
      <c r="X754" s="190"/>
      <c r="Y754" s="190"/>
      <c r="Z754" s="190"/>
    </row>
    <row r="755">
      <c r="A755" s="208"/>
      <c r="B755" s="190"/>
      <c r="C755" s="190"/>
      <c r="D755" s="190"/>
      <c r="E755" s="190"/>
      <c r="F755" s="209"/>
      <c r="G755" s="190"/>
      <c r="H755" s="190"/>
      <c r="I755" s="190"/>
      <c r="J755" s="190"/>
      <c r="K755" s="190"/>
      <c r="L755" s="190"/>
      <c r="M755" s="190"/>
      <c r="N755" s="190"/>
      <c r="O755" s="190"/>
      <c r="P755" s="190"/>
      <c r="Q755" s="190"/>
      <c r="R755" s="190"/>
      <c r="S755" s="190"/>
      <c r="T755" s="190"/>
      <c r="U755" s="190"/>
      <c r="V755" s="190"/>
      <c r="W755" s="190"/>
      <c r="X755" s="190"/>
      <c r="Y755" s="190"/>
      <c r="Z755" s="190"/>
    </row>
    <row r="756">
      <c r="A756" s="208"/>
      <c r="B756" s="190"/>
      <c r="C756" s="190"/>
      <c r="D756" s="190"/>
      <c r="E756" s="190"/>
      <c r="F756" s="209"/>
      <c r="G756" s="190"/>
      <c r="H756" s="190"/>
      <c r="I756" s="190"/>
      <c r="J756" s="190"/>
      <c r="K756" s="190"/>
      <c r="L756" s="190"/>
      <c r="M756" s="190"/>
      <c r="N756" s="190"/>
      <c r="O756" s="190"/>
      <c r="P756" s="190"/>
      <c r="Q756" s="190"/>
      <c r="R756" s="190"/>
      <c r="S756" s="190"/>
      <c r="T756" s="190"/>
      <c r="U756" s="190"/>
      <c r="V756" s="190"/>
      <c r="W756" s="190"/>
      <c r="X756" s="190"/>
      <c r="Y756" s="190"/>
      <c r="Z756" s="190"/>
    </row>
    <row r="757">
      <c r="A757" s="208"/>
      <c r="B757" s="190"/>
      <c r="C757" s="190"/>
      <c r="D757" s="190"/>
      <c r="E757" s="190"/>
      <c r="F757" s="209"/>
      <c r="G757" s="190"/>
      <c r="H757" s="190"/>
      <c r="I757" s="190"/>
      <c r="J757" s="190"/>
      <c r="K757" s="190"/>
      <c r="L757" s="190"/>
      <c r="M757" s="190"/>
      <c r="N757" s="190"/>
      <c r="O757" s="190"/>
      <c r="P757" s="190"/>
      <c r="Q757" s="190"/>
      <c r="R757" s="190"/>
      <c r="S757" s="190"/>
      <c r="T757" s="190"/>
      <c r="U757" s="190"/>
      <c r="V757" s="190"/>
      <c r="W757" s="190"/>
      <c r="X757" s="190"/>
      <c r="Y757" s="190"/>
      <c r="Z757" s="190"/>
    </row>
    <row r="758">
      <c r="A758" s="208"/>
      <c r="B758" s="190"/>
      <c r="C758" s="190"/>
      <c r="D758" s="190"/>
      <c r="E758" s="190"/>
      <c r="F758" s="209"/>
      <c r="G758" s="190"/>
      <c r="H758" s="190"/>
      <c r="I758" s="190"/>
      <c r="J758" s="190"/>
      <c r="K758" s="190"/>
      <c r="L758" s="190"/>
      <c r="M758" s="190"/>
      <c r="N758" s="190"/>
      <c r="O758" s="190"/>
      <c r="P758" s="190"/>
      <c r="Q758" s="190"/>
      <c r="R758" s="190"/>
      <c r="S758" s="190"/>
      <c r="T758" s="190"/>
      <c r="U758" s="190"/>
      <c r="V758" s="190"/>
      <c r="W758" s="190"/>
      <c r="X758" s="190"/>
      <c r="Y758" s="190"/>
      <c r="Z758" s="190"/>
    </row>
    <row r="759">
      <c r="A759" s="208"/>
      <c r="B759" s="190"/>
      <c r="C759" s="190"/>
      <c r="D759" s="190"/>
      <c r="E759" s="190"/>
      <c r="F759" s="209"/>
      <c r="G759" s="190"/>
      <c r="H759" s="190"/>
      <c r="I759" s="190"/>
      <c r="J759" s="190"/>
      <c r="K759" s="190"/>
      <c r="L759" s="190"/>
      <c r="M759" s="190"/>
      <c r="N759" s="190"/>
      <c r="O759" s="190"/>
      <c r="P759" s="190"/>
      <c r="Q759" s="190"/>
      <c r="R759" s="190"/>
      <c r="S759" s="190"/>
      <c r="T759" s="190"/>
      <c r="U759" s="190"/>
      <c r="V759" s="190"/>
      <c r="W759" s="190"/>
      <c r="X759" s="190"/>
      <c r="Y759" s="190"/>
      <c r="Z759" s="190"/>
    </row>
    <row r="760">
      <c r="A760" s="208"/>
      <c r="B760" s="190"/>
      <c r="C760" s="190"/>
      <c r="D760" s="190"/>
      <c r="E760" s="190"/>
      <c r="F760" s="209"/>
      <c r="G760" s="190"/>
      <c r="H760" s="190"/>
      <c r="I760" s="190"/>
      <c r="J760" s="190"/>
      <c r="K760" s="190"/>
      <c r="L760" s="190"/>
      <c r="M760" s="190"/>
      <c r="N760" s="190"/>
      <c r="O760" s="190"/>
      <c r="P760" s="190"/>
      <c r="Q760" s="190"/>
      <c r="R760" s="190"/>
      <c r="S760" s="190"/>
      <c r="T760" s="190"/>
      <c r="U760" s="190"/>
      <c r="V760" s="190"/>
      <c r="W760" s="190"/>
      <c r="X760" s="190"/>
      <c r="Y760" s="190"/>
      <c r="Z760" s="190"/>
    </row>
    <row r="761">
      <c r="A761" s="208"/>
      <c r="B761" s="190"/>
      <c r="C761" s="190"/>
      <c r="D761" s="190"/>
      <c r="E761" s="190"/>
      <c r="F761" s="209"/>
      <c r="G761" s="190"/>
      <c r="H761" s="190"/>
      <c r="I761" s="190"/>
      <c r="J761" s="190"/>
      <c r="K761" s="190"/>
      <c r="L761" s="190"/>
      <c r="M761" s="190"/>
      <c r="N761" s="190"/>
      <c r="O761" s="190"/>
      <c r="P761" s="190"/>
      <c r="Q761" s="190"/>
      <c r="R761" s="190"/>
      <c r="S761" s="190"/>
      <c r="T761" s="190"/>
      <c r="U761" s="190"/>
      <c r="V761" s="190"/>
      <c r="W761" s="190"/>
      <c r="X761" s="190"/>
      <c r="Y761" s="190"/>
      <c r="Z761" s="190"/>
    </row>
    <row r="762">
      <c r="A762" s="208"/>
      <c r="B762" s="190"/>
      <c r="C762" s="190"/>
      <c r="D762" s="190"/>
      <c r="E762" s="190"/>
      <c r="F762" s="209"/>
      <c r="G762" s="190"/>
      <c r="H762" s="190"/>
      <c r="I762" s="190"/>
      <c r="J762" s="190"/>
      <c r="K762" s="190"/>
      <c r="L762" s="190"/>
      <c r="M762" s="190"/>
      <c r="N762" s="190"/>
      <c r="O762" s="190"/>
      <c r="P762" s="190"/>
      <c r="Q762" s="190"/>
      <c r="R762" s="190"/>
      <c r="S762" s="190"/>
      <c r="T762" s="190"/>
      <c r="U762" s="190"/>
      <c r="V762" s="190"/>
      <c r="W762" s="190"/>
      <c r="X762" s="190"/>
      <c r="Y762" s="190"/>
      <c r="Z762" s="190"/>
    </row>
    <row r="763">
      <c r="A763" s="208"/>
      <c r="B763" s="190"/>
      <c r="C763" s="190"/>
      <c r="D763" s="190"/>
      <c r="E763" s="190"/>
      <c r="F763" s="209"/>
      <c r="G763" s="190"/>
      <c r="H763" s="190"/>
      <c r="I763" s="190"/>
      <c r="J763" s="190"/>
      <c r="K763" s="190"/>
      <c r="L763" s="190"/>
      <c r="M763" s="190"/>
      <c r="N763" s="190"/>
      <c r="O763" s="190"/>
      <c r="P763" s="190"/>
      <c r="Q763" s="190"/>
      <c r="R763" s="190"/>
      <c r="S763" s="190"/>
      <c r="T763" s="190"/>
      <c r="U763" s="190"/>
      <c r="V763" s="190"/>
      <c r="W763" s="190"/>
      <c r="X763" s="190"/>
      <c r="Y763" s="190"/>
      <c r="Z763" s="190"/>
    </row>
    <row r="764">
      <c r="A764" s="208"/>
      <c r="B764" s="190"/>
      <c r="C764" s="190"/>
      <c r="D764" s="190"/>
      <c r="E764" s="190"/>
      <c r="F764" s="209"/>
      <c r="G764" s="190"/>
      <c r="H764" s="190"/>
      <c r="I764" s="190"/>
      <c r="J764" s="190"/>
      <c r="K764" s="190"/>
      <c r="L764" s="190"/>
      <c r="M764" s="190"/>
      <c r="N764" s="190"/>
      <c r="O764" s="190"/>
      <c r="P764" s="190"/>
      <c r="Q764" s="190"/>
      <c r="R764" s="190"/>
      <c r="S764" s="190"/>
      <c r="T764" s="190"/>
      <c r="U764" s="190"/>
      <c r="V764" s="190"/>
      <c r="W764" s="190"/>
      <c r="X764" s="190"/>
      <c r="Y764" s="190"/>
      <c r="Z764" s="190"/>
    </row>
    <row r="765">
      <c r="A765" s="208"/>
      <c r="B765" s="190"/>
      <c r="C765" s="190"/>
      <c r="D765" s="190"/>
      <c r="E765" s="190"/>
      <c r="F765" s="209"/>
      <c r="G765" s="190"/>
      <c r="H765" s="190"/>
      <c r="I765" s="190"/>
      <c r="J765" s="190"/>
      <c r="K765" s="190"/>
      <c r="L765" s="190"/>
      <c r="M765" s="190"/>
      <c r="N765" s="190"/>
      <c r="O765" s="190"/>
      <c r="P765" s="190"/>
      <c r="Q765" s="190"/>
      <c r="R765" s="190"/>
      <c r="S765" s="190"/>
      <c r="T765" s="190"/>
      <c r="U765" s="190"/>
      <c r="V765" s="190"/>
      <c r="W765" s="190"/>
      <c r="X765" s="190"/>
      <c r="Y765" s="190"/>
      <c r="Z765" s="190"/>
    </row>
    <row r="766">
      <c r="A766" s="208"/>
      <c r="B766" s="190"/>
      <c r="C766" s="190"/>
      <c r="D766" s="190"/>
      <c r="E766" s="190"/>
      <c r="F766" s="209"/>
      <c r="G766" s="190"/>
      <c r="H766" s="190"/>
      <c r="I766" s="190"/>
      <c r="J766" s="190"/>
      <c r="K766" s="190"/>
      <c r="L766" s="190"/>
      <c r="M766" s="190"/>
      <c r="N766" s="190"/>
      <c r="O766" s="190"/>
      <c r="P766" s="190"/>
      <c r="Q766" s="190"/>
      <c r="R766" s="190"/>
      <c r="S766" s="190"/>
      <c r="T766" s="190"/>
      <c r="U766" s="190"/>
      <c r="V766" s="190"/>
      <c r="W766" s="190"/>
      <c r="X766" s="190"/>
      <c r="Y766" s="190"/>
      <c r="Z766" s="190"/>
    </row>
    <row r="767">
      <c r="A767" s="208"/>
      <c r="B767" s="190"/>
      <c r="C767" s="190"/>
      <c r="D767" s="190"/>
      <c r="E767" s="190"/>
      <c r="F767" s="209"/>
      <c r="G767" s="190"/>
      <c r="H767" s="190"/>
      <c r="I767" s="190"/>
      <c r="J767" s="190"/>
      <c r="K767" s="190"/>
      <c r="L767" s="190"/>
      <c r="M767" s="190"/>
      <c r="N767" s="190"/>
      <c r="O767" s="190"/>
      <c r="P767" s="190"/>
      <c r="Q767" s="190"/>
      <c r="R767" s="190"/>
      <c r="S767" s="190"/>
      <c r="T767" s="190"/>
      <c r="U767" s="190"/>
      <c r="V767" s="190"/>
      <c r="W767" s="190"/>
      <c r="X767" s="190"/>
      <c r="Y767" s="190"/>
      <c r="Z767" s="190"/>
    </row>
    <row r="768">
      <c r="A768" s="208"/>
      <c r="B768" s="190"/>
      <c r="C768" s="190"/>
      <c r="D768" s="190"/>
      <c r="E768" s="190"/>
      <c r="F768" s="209"/>
      <c r="G768" s="190"/>
      <c r="H768" s="190"/>
      <c r="I768" s="190"/>
      <c r="J768" s="190"/>
      <c r="K768" s="190"/>
      <c r="L768" s="190"/>
      <c r="M768" s="190"/>
      <c r="N768" s="190"/>
      <c r="O768" s="190"/>
      <c r="P768" s="190"/>
      <c r="Q768" s="190"/>
      <c r="R768" s="190"/>
      <c r="S768" s="190"/>
      <c r="T768" s="190"/>
      <c r="U768" s="190"/>
      <c r="V768" s="190"/>
      <c r="W768" s="190"/>
      <c r="X768" s="190"/>
      <c r="Y768" s="190"/>
      <c r="Z768" s="190"/>
    </row>
    <row r="769">
      <c r="A769" s="208"/>
      <c r="B769" s="190"/>
      <c r="C769" s="190"/>
      <c r="D769" s="190"/>
      <c r="E769" s="190"/>
      <c r="F769" s="209"/>
      <c r="G769" s="190"/>
      <c r="H769" s="190"/>
      <c r="I769" s="190"/>
      <c r="J769" s="190"/>
      <c r="K769" s="190"/>
      <c r="L769" s="190"/>
      <c r="M769" s="190"/>
      <c r="N769" s="190"/>
      <c r="O769" s="190"/>
      <c r="P769" s="190"/>
      <c r="Q769" s="190"/>
      <c r="R769" s="190"/>
      <c r="S769" s="190"/>
      <c r="T769" s="190"/>
      <c r="U769" s="190"/>
      <c r="V769" s="190"/>
      <c r="W769" s="190"/>
      <c r="X769" s="190"/>
      <c r="Y769" s="190"/>
      <c r="Z769" s="190"/>
    </row>
    <row r="770">
      <c r="A770" s="208"/>
      <c r="B770" s="190"/>
      <c r="C770" s="190"/>
      <c r="D770" s="190"/>
      <c r="E770" s="190"/>
      <c r="F770" s="209"/>
      <c r="G770" s="190"/>
      <c r="H770" s="190"/>
      <c r="I770" s="190"/>
      <c r="J770" s="190"/>
      <c r="K770" s="190"/>
      <c r="L770" s="190"/>
      <c r="M770" s="190"/>
      <c r="N770" s="190"/>
      <c r="O770" s="190"/>
      <c r="P770" s="190"/>
      <c r="Q770" s="190"/>
      <c r="R770" s="190"/>
      <c r="S770" s="190"/>
      <c r="T770" s="190"/>
      <c r="U770" s="190"/>
      <c r="V770" s="190"/>
      <c r="W770" s="190"/>
      <c r="X770" s="190"/>
      <c r="Y770" s="190"/>
      <c r="Z770" s="190"/>
    </row>
    <row r="771">
      <c r="A771" s="208"/>
      <c r="B771" s="190"/>
      <c r="C771" s="190"/>
      <c r="D771" s="190"/>
      <c r="E771" s="190"/>
      <c r="F771" s="209"/>
      <c r="G771" s="190"/>
      <c r="H771" s="190"/>
      <c r="I771" s="190"/>
      <c r="J771" s="190"/>
      <c r="K771" s="190"/>
      <c r="L771" s="190"/>
      <c r="M771" s="190"/>
      <c r="N771" s="190"/>
      <c r="O771" s="190"/>
      <c r="P771" s="190"/>
      <c r="Q771" s="190"/>
      <c r="R771" s="190"/>
      <c r="S771" s="190"/>
      <c r="T771" s="190"/>
      <c r="U771" s="190"/>
      <c r="V771" s="190"/>
      <c r="W771" s="190"/>
      <c r="X771" s="190"/>
      <c r="Y771" s="190"/>
      <c r="Z771" s="190"/>
    </row>
    <row r="772">
      <c r="A772" s="208"/>
      <c r="B772" s="190"/>
      <c r="C772" s="190"/>
      <c r="D772" s="190"/>
      <c r="E772" s="190"/>
      <c r="F772" s="209"/>
      <c r="G772" s="190"/>
      <c r="H772" s="190"/>
      <c r="I772" s="190"/>
      <c r="J772" s="190"/>
      <c r="K772" s="190"/>
      <c r="L772" s="190"/>
      <c r="M772" s="190"/>
      <c r="N772" s="190"/>
      <c r="O772" s="190"/>
      <c r="P772" s="190"/>
      <c r="Q772" s="190"/>
      <c r="R772" s="190"/>
      <c r="S772" s="190"/>
      <c r="T772" s="190"/>
      <c r="U772" s="190"/>
      <c r="V772" s="190"/>
      <c r="W772" s="190"/>
      <c r="X772" s="190"/>
      <c r="Y772" s="190"/>
      <c r="Z772" s="190"/>
    </row>
    <row r="773">
      <c r="A773" s="208"/>
      <c r="B773" s="190"/>
      <c r="C773" s="190"/>
      <c r="D773" s="190"/>
      <c r="E773" s="190"/>
      <c r="F773" s="209"/>
      <c r="G773" s="190"/>
      <c r="H773" s="190"/>
      <c r="I773" s="190"/>
      <c r="J773" s="190"/>
      <c r="K773" s="190"/>
      <c r="L773" s="190"/>
      <c r="M773" s="190"/>
      <c r="N773" s="190"/>
      <c r="O773" s="190"/>
      <c r="P773" s="190"/>
      <c r="Q773" s="190"/>
      <c r="R773" s="190"/>
      <c r="S773" s="190"/>
      <c r="T773" s="190"/>
      <c r="U773" s="190"/>
      <c r="V773" s="190"/>
      <c r="W773" s="190"/>
      <c r="X773" s="190"/>
      <c r="Y773" s="190"/>
      <c r="Z773" s="190"/>
    </row>
    <row r="774">
      <c r="A774" s="208"/>
      <c r="B774" s="190"/>
      <c r="C774" s="190"/>
      <c r="D774" s="190"/>
      <c r="E774" s="190"/>
      <c r="F774" s="209"/>
      <c r="G774" s="190"/>
      <c r="H774" s="190"/>
      <c r="I774" s="190"/>
      <c r="J774" s="190"/>
      <c r="K774" s="190"/>
      <c r="L774" s="190"/>
      <c r="M774" s="190"/>
      <c r="N774" s="190"/>
      <c r="O774" s="190"/>
      <c r="P774" s="190"/>
      <c r="Q774" s="190"/>
      <c r="R774" s="190"/>
      <c r="S774" s="190"/>
      <c r="T774" s="190"/>
      <c r="U774" s="190"/>
      <c r="V774" s="190"/>
      <c r="W774" s="190"/>
      <c r="X774" s="190"/>
      <c r="Y774" s="190"/>
      <c r="Z774" s="190"/>
    </row>
    <row r="775">
      <c r="A775" s="208"/>
      <c r="B775" s="190"/>
      <c r="C775" s="190"/>
      <c r="D775" s="190"/>
      <c r="E775" s="190"/>
      <c r="F775" s="209"/>
      <c r="G775" s="190"/>
      <c r="H775" s="190"/>
      <c r="I775" s="190"/>
      <c r="J775" s="190"/>
      <c r="K775" s="190"/>
      <c r="L775" s="190"/>
      <c r="M775" s="190"/>
      <c r="N775" s="190"/>
      <c r="O775" s="190"/>
      <c r="P775" s="190"/>
      <c r="Q775" s="190"/>
      <c r="R775" s="190"/>
      <c r="S775" s="190"/>
      <c r="T775" s="190"/>
      <c r="U775" s="190"/>
      <c r="V775" s="190"/>
      <c r="W775" s="190"/>
      <c r="X775" s="190"/>
      <c r="Y775" s="190"/>
      <c r="Z775" s="190"/>
    </row>
    <row r="776">
      <c r="A776" s="208"/>
      <c r="B776" s="190"/>
      <c r="C776" s="190"/>
      <c r="D776" s="190"/>
      <c r="E776" s="190"/>
      <c r="F776" s="209"/>
      <c r="G776" s="190"/>
      <c r="H776" s="190"/>
      <c r="I776" s="190"/>
      <c r="J776" s="190"/>
      <c r="K776" s="190"/>
      <c r="L776" s="190"/>
      <c r="M776" s="190"/>
      <c r="N776" s="190"/>
      <c r="O776" s="190"/>
      <c r="P776" s="190"/>
      <c r="Q776" s="190"/>
      <c r="R776" s="190"/>
      <c r="S776" s="190"/>
      <c r="T776" s="190"/>
      <c r="U776" s="190"/>
      <c r="V776" s="190"/>
      <c r="W776" s="190"/>
      <c r="X776" s="190"/>
      <c r="Y776" s="190"/>
      <c r="Z776" s="190"/>
    </row>
    <row r="777">
      <c r="A777" s="208"/>
      <c r="B777" s="190"/>
      <c r="C777" s="190"/>
      <c r="D777" s="190"/>
      <c r="E777" s="190"/>
      <c r="F777" s="209"/>
      <c r="G777" s="190"/>
      <c r="H777" s="190"/>
      <c r="I777" s="190"/>
      <c r="J777" s="190"/>
      <c r="K777" s="190"/>
      <c r="L777" s="190"/>
      <c r="M777" s="190"/>
      <c r="N777" s="190"/>
      <c r="O777" s="190"/>
      <c r="P777" s="190"/>
      <c r="Q777" s="190"/>
      <c r="R777" s="190"/>
      <c r="S777" s="190"/>
      <c r="T777" s="190"/>
      <c r="U777" s="190"/>
      <c r="V777" s="190"/>
      <c r="W777" s="190"/>
      <c r="X777" s="190"/>
      <c r="Y777" s="190"/>
      <c r="Z777" s="190"/>
    </row>
    <row r="778">
      <c r="A778" s="208"/>
      <c r="B778" s="190"/>
      <c r="C778" s="190"/>
      <c r="D778" s="190"/>
      <c r="E778" s="190"/>
      <c r="F778" s="209"/>
      <c r="G778" s="190"/>
      <c r="H778" s="190"/>
      <c r="I778" s="190"/>
      <c r="J778" s="190"/>
      <c r="K778" s="190"/>
      <c r="L778" s="190"/>
      <c r="M778" s="190"/>
      <c r="N778" s="190"/>
      <c r="O778" s="190"/>
      <c r="P778" s="190"/>
      <c r="Q778" s="190"/>
      <c r="R778" s="190"/>
      <c r="S778" s="190"/>
      <c r="T778" s="190"/>
      <c r="U778" s="190"/>
      <c r="V778" s="190"/>
      <c r="W778" s="190"/>
      <c r="X778" s="190"/>
      <c r="Y778" s="190"/>
      <c r="Z778" s="190"/>
    </row>
    <row r="779">
      <c r="A779" s="208"/>
      <c r="B779" s="190"/>
      <c r="C779" s="190"/>
      <c r="D779" s="190"/>
      <c r="E779" s="190"/>
      <c r="F779" s="209"/>
      <c r="G779" s="190"/>
      <c r="H779" s="190"/>
      <c r="I779" s="190"/>
      <c r="J779" s="190"/>
      <c r="K779" s="190"/>
      <c r="L779" s="190"/>
      <c r="M779" s="190"/>
      <c r="N779" s="190"/>
      <c r="O779" s="190"/>
      <c r="P779" s="190"/>
      <c r="Q779" s="190"/>
      <c r="R779" s="190"/>
      <c r="S779" s="190"/>
      <c r="T779" s="190"/>
      <c r="U779" s="190"/>
      <c r="V779" s="190"/>
      <c r="W779" s="190"/>
      <c r="X779" s="190"/>
      <c r="Y779" s="190"/>
      <c r="Z779" s="190"/>
    </row>
    <row r="780">
      <c r="A780" s="208"/>
      <c r="B780" s="190"/>
      <c r="C780" s="190"/>
      <c r="D780" s="190"/>
      <c r="E780" s="190"/>
      <c r="F780" s="209"/>
      <c r="G780" s="190"/>
      <c r="H780" s="190"/>
      <c r="I780" s="190"/>
      <c r="J780" s="190"/>
      <c r="K780" s="190"/>
      <c r="L780" s="190"/>
      <c r="M780" s="190"/>
      <c r="N780" s="190"/>
      <c r="O780" s="190"/>
      <c r="P780" s="190"/>
      <c r="Q780" s="190"/>
      <c r="R780" s="190"/>
      <c r="S780" s="190"/>
      <c r="T780" s="190"/>
      <c r="U780" s="190"/>
      <c r="V780" s="190"/>
      <c r="W780" s="190"/>
      <c r="X780" s="190"/>
      <c r="Y780" s="190"/>
      <c r="Z780" s="190"/>
    </row>
    <row r="781">
      <c r="A781" s="208"/>
      <c r="B781" s="190"/>
      <c r="C781" s="190"/>
      <c r="D781" s="190"/>
      <c r="E781" s="190"/>
      <c r="F781" s="209"/>
      <c r="G781" s="190"/>
      <c r="H781" s="190"/>
      <c r="I781" s="190"/>
      <c r="J781" s="190"/>
      <c r="K781" s="190"/>
      <c r="L781" s="190"/>
      <c r="M781" s="190"/>
      <c r="N781" s="190"/>
      <c r="O781" s="190"/>
      <c r="P781" s="190"/>
      <c r="Q781" s="190"/>
      <c r="R781" s="190"/>
      <c r="S781" s="190"/>
      <c r="T781" s="190"/>
      <c r="U781" s="190"/>
      <c r="V781" s="190"/>
      <c r="W781" s="190"/>
      <c r="X781" s="190"/>
      <c r="Y781" s="190"/>
      <c r="Z781" s="190"/>
    </row>
    <row r="782">
      <c r="A782" s="208"/>
      <c r="B782" s="190"/>
      <c r="C782" s="190"/>
      <c r="D782" s="190"/>
      <c r="E782" s="190"/>
      <c r="F782" s="209"/>
      <c r="G782" s="190"/>
      <c r="H782" s="190"/>
      <c r="I782" s="190"/>
      <c r="J782" s="190"/>
      <c r="K782" s="190"/>
      <c r="L782" s="190"/>
      <c r="M782" s="190"/>
      <c r="N782" s="190"/>
      <c r="O782" s="190"/>
      <c r="P782" s="190"/>
      <c r="Q782" s="190"/>
      <c r="R782" s="190"/>
      <c r="S782" s="190"/>
      <c r="T782" s="190"/>
      <c r="U782" s="190"/>
      <c r="V782" s="190"/>
      <c r="W782" s="190"/>
      <c r="X782" s="190"/>
      <c r="Y782" s="190"/>
      <c r="Z782" s="190"/>
    </row>
    <row r="783">
      <c r="A783" s="208"/>
      <c r="B783" s="190"/>
      <c r="C783" s="190"/>
      <c r="D783" s="190"/>
      <c r="E783" s="190"/>
      <c r="F783" s="209"/>
      <c r="G783" s="190"/>
      <c r="H783" s="190"/>
      <c r="I783" s="190"/>
      <c r="J783" s="190"/>
      <c r="K783" s="190"/>
      <c r="L783" s="190"/>
      <c r="M783" s="190"/>
      <c r="N783" s="190"/>
      <c r="O783" s="190"/>
      <c r="P783" s="190"/>
      <c r="Q783" s="190"/>
      <c r="R783" s="190"/>
      <c r="S783" s="190"/>
      <c r="T783" s="190"/>
      <c r="U783" s="190"/>
      <c r="V783" s="190"/>
      <c r="W783" s="190"/>
      <c r="X783" s="190"/>
      <c r="Y783" s="190"/>
      <c r="Z783" s="190"/>
    </row>
    <row r="784">
      <c r="A784" s="208"/>
      <c r="B784" s="190"/>
      <c r="C784" s="190"/>
      <c r="D784" s="190"/>
      <c r="E784" s="190"/>
      <c r="F784" s="209"/>
      <c r="G784" s="190"/>
      <c r="H784" s="190"/>
      <c r="I784" s="190"/>
      <c r="J784" s="190"/>
      <c r="K784" s="190"/>
      <c r="L784" s="190"/>
      <c r="M784" s="190"/>
      <c r="N784" s="190"/>
      <c r="O784" s="190"/>
      <c r="P784" s="190"/>
      <c r="Q784" s="190"/>
      <c r="R784" s="190"/>
      <c r="S784" s="190"/>
      <c r="T784" s="190"/>
      <c r="U784" s="190"/>
      <c r="V784" s="190"/>
      <c r="W784" s="190"/>
      <c r="X784" s="190"/>
      <c r="Y784" s="190"/>
      <c r="Z784" s="190"/>
    </row>
    <row r="785">
      <c r="A785" s="208"/>
      <c r="B785" s="190"/>
      <c r="C785" s="190"/>
      <c r="D785" s="190"/>
      <c r="E785" s="190"/>
      <c r="F785" s="209"/>
      <c r="G785" s="190"/>
      <c r="H785" s="190"/>
      <c r="I785" s="190"/>
      <c r="J785" s="190"/>
      <c r="K785" s="190"/>
      <c r="L785" s="190"/>
      <c r="M785" s="190"/>
      <c r="N785" s="190"/>
      <c r="O785" s="190"/>
      <c r="P785" s="190"/>
      <c r="Q785" s="190"/>
      <c r="R785" s="190"/>
      <c r="S785" s="190"/>
      <c r="T785" s="190"/>
      <c r="U785" s="190"/>
      <c r="V785" s="190"/>
      <c r="W785" s="190"/>
      <c r="X785" s="190"/>
      <c r="Y785" s="190"/>
      <c r="Z785" s="190"/>
    </row>
    <row r="786">
      <c r="A786" s="208"/>
      <c r="B786" s="190"/>
      <c r="C786" s="190"/>
      <c r="D786" s="190"/>
      <c r="E786" s="190"/>
      <c r="F786" s="209"/>
      <c r="G786" s="190"/>
      <c r="H786" s="190"/>
      <c r="I786" s="190"/>
      <c r="J786" s="190"/>
      <c r="K786" s="190"/>
      <c r="L786" s="190"/>
      <c r="M786" s="190"/>
      <c r="N786" s="190"/>
      <c r="O786" s="190"/>
      <c r="P786" s="190"/>
      <c r="Q786" s="190"/>
      <c r="R786" s="190"/>
      <c r="S786" s="190"/>
      <c r="T786" s="190"/>
      <c r="U786" s="190"/>
      <c r="V786" s="190"/>
      <c r="W786" s="190"/>
      <c r="X786" s="190"/>
      <c r="Y786" s="190"/>
      <c r="Z786" s="190"/>
    </row>
    <row r="787">
      <c r="A787" s="208"/>
      <c r="B787" s="190"/>
      <c r="C787" s="190"/>
      <c r="D787" s="190"/>
      <c r="E787" s="190"/>
      <c r="F787" s="209"/>
      <c r="G787" s="190"/>
      <c r="H787" s="190"/>
      <c r="I787" s="190"/>
      <c r="J787" s="190"/>
      <c r="K787" s="190"/>
      <c r="L787" s="190"/>
      <c r="M787" s="190"/>
      <c r="N787" s="190"/>
      <c r="O787" s="190"/>
      <c r="P787" s="190"/>
      <c r="Q787" s="190"/>
      <c r="R787" s="190"/>
      <c r="S787" s="190"/>
      <c r="T787" s="190"/>
      <c r="U787" s="190"/>
      <c r="V787" s="190"/>
      <c r="W787" s="190"/>
      <c r="X787" s="190"/>
      <c r="Y787" s="190"/>
      <c r="Z787" s="190"/>
    </row>
    <row r="788">
      <c r="A788" s="208"/>
      <c r="B788" s="190"/>
      <c r="C788" s="190"/>
      <c r="D788" s="190"/>
      <c r="E788" s="190"/>
      <c r="F788" s="209"/>
      <c r="G788" s="190"/>
      <c r="H788" s="190"/>
      <c r="I788" s="190"/>
      <c r="J788" s="190"/>
      <c r="K788" s="190"/>
      <c r="L788" s="190"/>
      <c r="M788" s="190"/>
      <c r="N788" s="190"/>
      <c r="O788" s="190"/>
      <c r="P788" s="190"/>
      <c r="Q788" s="190"/>
      <c r="R788" s="190"/>
      <c r="S788" s="190"/>
      <c r="T788" s="190"/>
      <c r="U788" s="190"/>
      <c r="V788" s="190"/>
      <c r="W788" s="190"/>
      <c r="X788" s="190"/>
      <c r="Y788" s="190"/>
      <c r="Z788" s="190"/>
    </row>
    <row r="789">
      <c r="A789" s="208"/>
      <c r="B789" s="190"/>
      <c r="C789" s="190"/>
      <c r="D789" s="190"/>
      <c r="E789" s="190"/>
      <c r="F789" s="209"/>
      <c r="G789" s="190"/>
      <c r="H789" s="190"/>
      <c r="I789" s="190"/>
      <c r="J789" s="190"/>
      <c r="K789" s="190"/>
      <c r="L789" s="190"/>
      <c r="M789" s="190"/>
      <c r="N789" s="190"/>
      <c r="O789" s="190"/>
      <c r="P789" s="190"/>
      <c r="Q789" s="190"/>
      <c r="R789" s="190"/>
      <c r="S789" s="190"/>
      <c r="T789" s="190"/>
      <c r="U789" s="190"/>
      <c r="V789" s="190"/>
      <c r="W789" s="190"/>
      <c r="X789" s="190"/>
      <c r="Y789" s="190"/>
      <c r="Z789" s="190"/>
    </row>
    <row r="790">
      <c r="A790" s="208"/>
      <c r="B790" s="190"/>
      <c r="C790" s="190"/>
      <c r="D790" s="190"/>
      <c r="E790" s="190"/>
      <c r="F790" s="209"/>
      <c r="G790" s="190"/>
      <c r="H790" s="190"/>
      <c r="I790" s="190"/>
      <c r="J790" s="190"/>
      <c r="K790" s="190"/>
      <c r="L790" s="190"/>
      <c r="M790" s="190"/>
      <c r="N790" s="190"/>
      <c r="O790" s="190"/>
      <c r="P790" s="190"/>
      <c r="Q790" s="190"/>
      <c r="R790" s="190"/>
      <c r="S790" s="190"/>
      <c r="T790" s="190"/>
      <c r="U790" s="190"/>
      <c r="V790" s="190"/>
      <c r="W790" s="190"/>
      <c r="X790" s="190"/>
      <c r="Y790" s="190"/>
      <c r="Z790" s="190"/>
    </row>
    <row r="791">
      <c r="A791" s="208"/>
      <c r="B791" s="190"/>
      <c r="C791" s="190"/>
      <c r="D791" s="190"/>
      <c r="E791" s="190"/>
      <c r="F791" s="209"/>
      <c r="G791" s="190"/>
      <c r="H791" s="190"/>
      <c r="I791" s="190"/>
      <c r="J791" s="190"/>
      <c r="K791" s="190"/>
      <c r="L791" s="190"/>
      <c r="M791" s="190"/>
      <c r="N791" s="190"/>
      <c r="O791" s="190"/>
      <c r="P791" s="190"/>
      <c r="Q791" s="190"/>
      <c r="R791" s="190"/>
      <c r="S791" s="190"/>
      <c r="T791" s="190"/>
      <c r="U791" s="190"/>
      <c r="V791" s="190"/>
      <c r="W791" s="190"/>
      <c r="X791" s="190"/>
      <c r="Y791" s="190"/>
      <c r="Z791" s="190"/>
    </row>
    <row r="792">
      <c r="A792" s="208"/>
      <c r="B792" s="190"/>
      <c r="C792" s="190"/>
      <c r="D792" s="190"/>
      <c r="E792" s="190"/>
      <c r="F792" s="209"/>
      <c r="G792" s="190"/>
      <c r="H792" s="190"/>
      <c r="I792" s="190"/>
      <c r="J792" s="190"/>
      <c r="K792" s="190"/>
      <c r="L792" s="190"/>
      <c r="M792" s="190"/>
      <c r="N792" s="190"/>
      <c r="O792" s="190"/>
      <c r="P792" s="190"/>
      <c r="Q792" s="190"/>
      <c r="R792" s="190"/>
      <c r="S792" s="190"/>
      <c r="T792" s="190"/>
      <c r="U792" s="190"/>
      <c r="V792" s="190"/>
      <c r="W792" s="190"/>
      <c r="X792" s="190"/>
      <c r="Y792" s="190"/>
      <c r="Z792" s="190"/>
    </row>
    <row r="793">
      <c r="A793" s="208"/>
      <c r="B793" s="190"/>
      <c r="C793" s="190"/>
      <c r="D793" s="190"/>
      <c r="E793" s="190"/>
      <c r="F793" s="209"/>
      <c r="G793" s="190"/>
      <c r="H793" s="190"/>
      <c r="I793" s="190"/>
      <c r="J793" s="190"/>
      <c r="K793" s="190"/>
      <c r="L793" s="190"/>
      <c r="M793" s="190"/>
      <c r="N793" s="190"/>
      <c r="O793" s="190"/>
      <c r="P793" s="190"/>
      <c r="Q793" s="190"/>
      <c r="R793" s="190"/>
      <c r="S793" s="190"/>
      <c r="T793" s="190"/>
      <c r="U793" s="190"/>
      <c r="V793" s="190"/>
      <c r="W793" s="190"/>
      <c r="X793" s="190"/>
      <c r="Y793" s="190"/>
      <c r="Z793" s="190"/>
    </row>
    <row r="794">
      <c r="A794" s="208"/>
      <c r="B794" s="190"/>
      <c r="C794" s="190"/>
      <c r="D794" s="190"/>
      <c r="E794" s="190"/>
      <c r="F794" s="209"/>
      <c r="G794" s="190"/>
      <c r="H794" s="190"/>
      <c r="I794" s="190"/>
      <c r="J794" s="190"/>
      <c r="K794" s="190"/>
      <c r="L794" s="190"/>
      <c r="M794" s="190"/>
      <c r="N794" s="190"/>
      <c r="O794" s="190"/>
      <c r="P794" s="190"/>
      <c r="Q794" s="190"/>
      <c r="R794" s="190"/>
      <c r="S794" s="190"/>
      <c r="T794" s="190"/>
      <c r="U794" s="190"/>
      <c r="V794" s="190"/>
      <c r="W794" s="190"/>
      <c r="X794" s="190"/>
      <c r="Y794" s="190"/>
      <c r="Z794" s="190"/>
    </row>
    <row r="795">
      <c r="A795" s="208"/>
      <c r="B795" s="190"/>
      <c r="C795" s="190"/>
      <c r="D795" s="190"/>
      <c r="E795" s="190"/>
      <c r="F795" s="209"/>
      <c r="G795" s="190"/>
      <c r="H795" s="190"/>
      <c r="I795" s="190"/>
      <c r="J795" s="190"/>
      <c r="K795" s="190"/>
      <c r="L795" s="190"/>
      <c r="M795" s="190"/>
      <c r="N795" s="190"/>
      <c r="O795" s="190"/>
      <c r="P795" s="190"/>
      <c r="Q795" s="190"/>
      <c r="R795" s="190"/>
      <c r="S795" s="190"/>
      <c r="T795" s="190"/>
      <c r="U795" s="190"/>
      <c r="V795" s="190"/>
      <c r="W795" s="190"/>
      <c r="X795" s="190"/>
      <c r="Y795" s="190"/>
      <c r="Z795" s="190"/>
    </row>
    <row r="796">
      <c r="A796" s="208"/>
      <c r="B796" s="190"/>
      <c r="C796" s="190"/>
      <c r="D796" s="190"/>
      <c r="E796" s="190"/>
      <c r="F796" s="209"/>
      <c r="G796" s="190"/>
      <c r="H796" s="190"/>
      <c r="I796" s="190"/>
      <c r="J796" s="190"/>
      <c r="K796" s="190"/>
      <c r="L796" s="190"/>
      <c r="M796" s="190"/>
      <c r="N796" s="190"/>
      <c r="O796" s="190"/>
      <c r="P796" s="190"/>
      <c r="Q796" s="190"/>
      <c r="R796" s="190"/>
      <c r="S796" s="190"/>
      <c r="T796" s="190"/>
      <c r="U796" s="190"/>
      <c r="V796" s="190"/>
      <c r="W796" s="190"/>
      <c r="X796" s="190"/>
      <c r="Y796" s="190"/>
      <c r="Z796" s="190"/>
    </row>
    <row r="797">
      <c r="A797" s="208"/>
      <c r="B797" s="190"/>
      <c r="C797" s="190"/>
      <c r="D797" s="190"/>
      <c r="E797" s="190"/>
      <c r="F797" s="209"/>
      <c r="G797" s="190"/>
      <c r="H797" s="190"/>
      <c r="I797" s="190"/>
      <c r="J797" s="190"/>
      <c r="K797" s="190"/>
      <c r="L797" s="190"/>
      <c r="M797" s="190"/>
      <c r="N797" s="190"/>
      <c r="O797" s="190"/>
      <c r="P797" s="190"/>
      <c r="Q797" s="190"/>
      <c r="R797" s="190"/>
      <c r="S797" s="190"/>
      <c r="T797" s="190"/>
      <c r="U797" s="190"/>
      <c r="V797" s="190"/>
      <c r="W797" s="190"/>
      <c r="X797" s="190"/>
      <c r="Y797" s="190"/>
      <c r="Z797" s="190"/>
    </row>
    <row r="798">
      <c r="A798" s="208"/>
      <c r="B798" s="190"/>
      <c r="C798" s="190"/>
      <c r="D798" s="190"/>
      <c r="E798" s="190"/>
      <c r="F798" s="209"/>
      <c r="G798" s="190"/>
      <c r="H798" s="190"/>
      <c r="I798" s="190"/>
      <c r="J798" s="190"/>
      <c r="K798" s="190"/>
      <c r="L798" s="190"/>
      <c r="M798" s="190"/>
      <c r="N798" s="190"/>
      <c r="O798" s="190"/>
      <c r="P798" s="190"/>
      <c r="Q798" s="190"/>
      <c r="R798" s="190"/>
      <c r="S798" s="190"/>
      <c r="T798" s="190"/>
      <c r="U798" s="190"/>
      <c r="V798" s="190"/>
      <c r="W798" s="190"/>
      <c r="X798" s="190"/>
      <c r="Y798" s="190"/>
      <c r="Z798" s="190"/>
    </row>
    <row r="799">
      <c r="A799" s="208"/>
      <c r="B799" s="190"/>
      <c r="C799" s="190"/>
      <c r="D799" s="190"/>
      <c r="E799" s="190"/>
      <c r="F799" s="209"/>
      <c r="G799" s="190"/>
      <c r="H799" s="190"/>
      <c r="I799" s="190"/>
      <c r="J799" s="190"/>
      <c r="K799" s="190"/>
      <c r="L799" s="190"/>
      <c r="M799" s="190"/>
      <c r="N799" s="190"/>
      <c r="O799" s="190"/>
      <c r="P799" s="190"/>
      <c r="Q799" s="190"/>
      <c r="R799" s="190"/>
      <c r="S799" s="190"/>
      <c r="T799" s="190"/>
      <c r="U799" s="190"/>
      <c r="V799" s="190"/>
      <c r="W799" s="190"/>
      <c r="X799" s="190"/>
      <c r="Y799" s="190"/>
      <c r="Z799" s="190"/>
    </row>
    <row r="800">
      <c r="A800" s="208"/>
      <c r="B800" s="190"/>
      <c r="C800" s="190"/>
      <c r="D800" s="190"/>
      <c r="E800" s="190"/>
      <c r="F800" s="209"/>
      <c r="G800" s="190"/>
      <c r="H800" s="190"/>
      <c r="I800" s="190"/>
      <c r="J800" s="190"/>
      <c r="K800" s="190"/>
      <c r="L800" s="190"/>
      <c r="M800" s="190"/>
      <c r="N800" s="190"/>
      <c r="O800" s="190"/>
      <c r="P800" s="190"/>
      <c r="Q800" s="190"/>
      <c r="R800" s="190"/>
      <c r="S800" s="190"/>
      <c r="T800" s="190"/>
      <c r="U800" s="190"/>
      <c r="V800" s="190"/>
      <c r="W800" s="190"/>
      <c r="X800" s="190"/>
      <c r="Y800" s="190"/>
      <c r="Z800" s="190"/>
    </row>
    <row r="801">
      <c r="A801" s="208"/>
      <c r="B801" s="190"/>
      <c r="C801" s="190"/>
      <c r="D801" s="190"/>
      <c r="E801" s="190"/>
      <c r="F801" s="209"/>
      <c r="G801" s="190"/>
      <c r="H801" s="190"/>
      <c r="I801" s="190"/>
      <c r="J801" s="190"/>
      <c r="K801" s="190"/>
      <c r="L801" s="190"/>
      <c r="M801" s="190"/>
      <c r="N801" s="190"/>
      <c r="O801" s="190"/>
      <c r="P801" s="190"/>
      <c r="Q801" s="190"/>
      <c r="R801" s="190"/>
      <c r="S801" s="190"/>
      <c r="T801" s="190"/>
      <c r="U801" s="190"/>
      <c r="V801" s="190"/>
      <c r="W801" s="190"/>
      <c r="X801" s="190"/>
      <c r="Y801" s="190"/>
      <c r="Z801" s="190"/>
    </row>
    <row r="802">
      <c r="A802" s="208"/>
      <c r="B802" s="190"/>
      <c r="C802" s="190"/>
      <c r="D802" s="190"/>
      <c r="E802" s="190"/>
      <c r="F802" s="209"/>
      <c r="G802" s="190"/>
      <c r="H802" s="190"/>
      <c r="I802" s="190"/>
      <c r="J802" s="190"/>
      <c r="K802" s="190"/>
      <c r="L802" s="190"/>
      <c r="M802" s="190"/>
      <c r="N802" s="190"/>
      <c r="O802" s="190"/>
      <c r="P802" s="190"/>
      <c r="Q802" s="190"/>
      <c r="R802" s="190"/>
      <c r="S802" s="190"/>
      <c r="T802" s="190"/>
      <c r="U802" s="190"/>
      <c r="V802" s="190"/>
      <c r="W802" s="190"/>
      <c r="X802" s="190"/>
      <c r="Y802" s="190"/>
      <c r="Z802" s="190"/>
    </row>
    <row r="803">
      <c r="A803" s="208"/>
      <c r="B803" s="190"/>
      <c r="C803" s="190"/>
      <c r="D803" s="190"/>
      <c r="E803" s="190"/>
      <c r="F803" s="209"/>
      <c r="G803" s="190"/>
      <c r="H803" s="190"/>
      <c r="I803" s="190"/>
      <c r="J803" s="190"/>
      <c r="K803" s="190"/>
      <c r="L803" s="190"/>
      <c r="M803" s="190"/>
      <c r="N803" s="190"/>
      <c r="O803" s="190"/>
      <c r="P803" s="190"/>
      <c r="Q803" s="190"/>
      <c r="R803" s="190"/>
      <c r="S803" s="190"/>
      <c r="T803" s="190"/>
      <c r="U803" s="190"/>
      <c r="V803" s="190"/>
      <c r="W803" s="190"/>
      <c r="X803" s="190"/>
      <c r="Y803" s="190"/>
      <c r="Z803" s="190"/>
    </row>
    <row r="804">
      <c r="A804" s="208"/>
      <c r="B804" s="190"/>
      <c r="C804" s="190"/>
      <c r="D804" s="190"/>
      <c r="E804" s="190"/>
      <c r="F804" s="209"/>
      <c r="G804" s="190"/>
      <c r="H804" s="190"/>
      <c r="I804" s="190"/>
      <c r="J804" s="190"/>
      <c r="K804" s="190"/>
      <c r="L804" s="190"/>
      <c r="M804" s="190"/>
      <c r="N804" s="190"/>
      <c r="O804" s="190"/>
      <c r="P804" s="190"/>
      <c r="Q804" s="190"/>
      <c r="R804" s="190"/>
      <c r="S804" s="190"/>
      <c r="T804" s="190"/>
      <c r="U804" s="190"/>
      <c r="V804" s="190"/>
      <c r="W804" s="190"/>
      <c r="X804" s="190"/>
      <c r="Y804" s="190"/>
      <c r="Z804" s="190"/>
    </row>
    <row r="805">
      <c r="A805" s="208"/>
      <c r="B805" s="190"/>
      <c r="C805" s="190"/>
      <c r="D805" s="190"/>
      <c r="E805" s="190"/>
      <c r="F805" s="209"/>
      <c r="G805" s="190"/>
      <c r="H805" s="190"/>
      <c r="I805" s="190"/>
      <c r="J805" s="190"/>
      <c r="K805" s="190"/>
      <c r="L805" s="190"/>
      <c r="M805" s="190"/>
      <c r="N805" s="190"/>
      <c r="O805" s="190"/>
      <c r="P805" s="190"/>
      <c r="Q805" s="190"/>
      <c r="R805" s="190"/>
      <c r="S805" s="190"/>
      <c r="T805" s="190"/>
      <c r="U805" s="190"/>
      <c r="V805" s="190"/>
      <c r="W805" s="190"/>
      <c r="X805" s="190"/>
      <c r="Y805" s="190"/>
      <c r="Z805" s="190"/>
    </row>
    <row r="806">
      <c r="A806" s="208"/>
      <c r="B806" s="190"/>
      <c r="C806" s="190"/>
      <c r="D806" s="190"/>
      <c r="E806" s="190"/>
      <c r="F806" s="209"/>
      <c r="G806" s="190"/>
      <c r="H806" s="190"/>
      <c r="I806" s="190"/>
      <c r="J806" s="190"/>
      <c r="K806" s="190"/>
      <c r="L806" s="190"/>
      <c r="M806" s="190"/>
      <c r="N806" s="190"/>
      <c r="O806" s="190"/>
      <c r="P806" s="190"/>
      <c r="Q806" s="190"/>
      <c r="R806" s="190"/>
      <c r="S806" s="190"/>
      <c r="T806" s="190"/>
      <c r="U806" s="190"/>
      <c r="V806" s="190"/>
      <c r="W806" s="190"/>
      <c r="X806" s="190"/>
      <c r="Y806" s="190"/>
      <c r="Z806" s="190"/>
    </row>
    <row r="807">
      <c r="A807" s="208"/>
      <c r="B807" s="190"/>
      <c r="C807" s="190"/>
      <c r="D807" s="190"/>
      <c r="E807" s="190"/>
      <c r="F807" s="209"/>
      <c r="G807" s="190"/>
      <c r="H807" s="190"/>
      <c r="I807" s="190"/>
      <c r="J807" s="190"/>
      <c r="K807" s="190"/>
      <c r="L807" s="190"/>
      <c r="M807" s="190"/>
      <c r="N807" s="190"/>
      <c r="O807" s="190"/>
      <c r="P807" s="190"/>
      <c r="Q807" s="190"/>
      <c r="R807" s="190"/>
      <c r="S807" s="190"/>
      <c r="T807" s="190"/>
      <c r="U807" s="190"/>
      <c r="V807" s="190"/>
      <c r="W807" s="190"/>
      <c r="X807" s="190"/>
      <c r="Y807" s="190"/>
      <c r="Z807" s="190"/>
    </row>
    <row r="808">
      <c r="A808" s="208"/>
      <c r="B808" s="190"/>
      <c r="C808" s="190"/>
      <c r="D808" s="190"/>
      <c r="E808" s="190"/>
      <c r="F808" s="209"/>
      <c r="G808" s="190"/>
      <c r="H808" s="190"/>
      <c r="I808" s="190"/>
      <c r="J808" s="190"/>
      <c r="K808" s="190"/>
      <c r="L808" s="190"/>
      <c r="M808" s="190"/>
      <c r="N808" s="190"/>
      <c r="O808" s="190"/>
      <c r="P808" s="190"/>
      <c r="Q808" s="190"/>
      <c r="R808" s="190"/>
      <c r="S808" s="190"/>
      <c r="T808" s="190"/>
      <c r="U808" s="190"/>
      <c r="V808" s="190"/>
      <c r="W808" s="190"/>
      <c r="X808" s="190"/>
      <c r="Y808" s="190"/>
      <c r="Z808" s="190"/>
    </row>
    <row r="809">
      <c r="A809" s="208"/>
      <c r="B809" s="190"/>
      <c r="C809" s="190"/>
      <c r="D809" s="190"/>
      <c r="E809" s="190"/>
      <c r="F809" s="209"/>
      <c r="G809" s="190"/>
      <c r="H809" s="190"/>
      <c r="I809" s="190"/>
      <c r="J809" s="190"/>
      <c r="K809" s="190"/>
      <c r="L809" s="190"/>
      <c r="M809" s="190"/>
      <c r="N809" s="190"/>
      <c r="O809" s="190"/>
      <c r="P809" s="190"/>
      <c r="Q809" s="190"/>
      <c r="R809" s="190"/>
      <c r="S809" s="190"/>
      <c r="T809" s="190"/>
      <c r="U809" s="190"/>
      <c r="V809" s="190"/>
      <c r="W809" s="190"/>
      <c r="X809" s="190"/>
      <c r="Y809" s="190"/>
      <c r="Z809" s="190"/>
    </row>
    <row r="810">
      <c r="A810" s="208"/>
      <c r="B810" s="190"/>
      <c r="C810" s="190"/>
      <c r="D810" s="190"/>
      <c r="E810" s="190"/>
      <c r="F810" s="209"/>
      <c r="G810" s="190"/>
      <c r="H810" s="190"/>
      <c r="I810" s="190"/>
      <c r="J810" s="190"/>
      <c r="K810" s="190"/>
      <c r="L810" s="190"/>
      <c r="M810" s="190"/>
      <c r="N810" s="190"/>
      <c r="O810" s="190"/>
      <c r="P810" s="190"/>
      <c r="Q810" s="190"/>
      <c r="R810" s="190"/>
      <c r="S810" s="190"/>
      <c r="T810" s="190"/>
      <c r="U810" s="190"/>
      <c r="V810" s="190"/>
      <c r="W810" s="190"/>
      <c r="X810" s="190"/>
      <c r="Y810" s="190"/>
      <c r="Z810" s="190"/>
    </row>
    <row r="811">
      <c r="A811" s="208"/>
      <c r="B811" s="190"/>
      <c r="C811" s="190"/>
      <c r="D811" s="190"/>
      <c r="E811" s="190"/>
      <c r="F811" s="209"/>
      <c r="G811" s="190"/>
      <c r="H811" s="190"/>
      <c r="I811" s="190"/>
      <c r="J811" s="190"/>
      <c r="K811" s="190"/>
      <c r="L811" s="190"/>
      <c r="M811" s="190"/>
      <c r="N811" s="190"/>
      <c r="O811" s="190"/>
      <c r="P811" s="190"/>
      <c r="Q811" s="190"/>
      <c r="R811" s="190"/>
      <c r="S811" s="190"/>
      <c r="T811" s="190"/>
      <c r="U811" s="190"/>
      <c r="V811" s="190"/>
      <c r="W811" s="190"/>
      <c r="X811" s="190"/>
      <c r="Y811" s="190"/>
      <c r="Z811" s="190"/>
    </row>
    <row r="812">
      <c r="A812" s="208"/>
      <c r="B812" s="190"/>
      <c r="C812" s="190"/>
      <c r="D812" s="190"/>
      <c r="E812" s="190"/>
      <c r="F812" s="209"/>
      <c r="G812" s="190"/>
      <c r="H812" s="190"/>
      <c r="I812" s="190"/>
      <c r="J812" s="190"/>
      <c r="K812" s="190"/>
      <c r="L812" s="190"/>
      <c r="M812" s="190"/>
      <c r="N812" s="190"/>
      <c r="O812" s="190"/>
      <c r="P812" s="190"/>
      <c r="Q812" s="190"/>
      <c r="R812" s="190"/>
      <c r="S812" s="190"/>
      <c r="T812" s="190"/>
      <c r="U812" s="190"/>
      <c r="V812" s="190"/>
      <c r="W812" s="190"/>
      <c r="X812" s="190"/>
      <c r="Y812" s="190"/>
      <c r="Z812" s="190"/>
    </row>
    <row r="813">
      <c r="A813" s="208"/>
      <c r="B813" s="190"/>
      <c r="C813" s="190"/>
      <c r="D813" s="190"/>
      <c r="E813" s="190"/>
      <c r="F813" s="209"/>
      <c r="G813" s="190"/>
      <c r="H813" s="190"/>
      <c r="I813" s="190"/>
      <c r="J813" s="190"/>
      <c r="K813" s="190"/>
      <c r="L813" s="190"/>
      <c r="M813" s="190"/>
      <c r="N813" s="190"/>
      <c r="O813" s="190"/>
      <c r="P813" s="190"/>
      <c r="Q813" s="190"/>
      <c r="R813" s="190"/>
      <c r="S813" s="190"/>
      <c r="T813" s="190"/>
      <c r="U813" s="190"/>
      <c r="V813" s="190"/>
      <c r="W813" s="190"/>
      <c r="X813" s="190"/>
      <c r="Y813" s="190"/>
      <c r="Z813" s="190"/>
    </row>
    <row r="814">
      <c r="A814" s="208"/>
      <c r="B814" s="190"/>
      <c r="C814" s="190"/>
      <c r="D814" s="190"/>
      <c r="E814" s="190"/>
      <c r="F814" s="209"/>
      <c r="G814" s="190"/>
      <c r="H814" s="190"/>
      <c r="I814" s="190"/>
      <c r="J814" s="190"/>
      <c r="K814" s="190"/>
      <c r="L814" s="190"/>
      <c r="M814" s="190"/>
      <c r="N814" s="190"/>
      <c r="O814" s="190"/>
      <c r="P814" s="190"/>
      <c r="Q814" s="190"/>
      <c r="R814" s="190"/>
      <c r="S814" s="190"/>
      <c r="T814" s="190"/>
      <c r="U814" s="190"/>
      <c r="V814" s="190"/>
      <c r="W814" s="190"/>
      <c r="X814" s="190"/>
      <c r="Y814" s="190"/>
      <c r="Z814" s="190"/>
    </row>
    <row r="815">
      <c r="A815" s="208"/>
      <c r="B815" s="190"/>
      <c r="C815" s="190"/>
      <c r="D815" s="190"/>
      <c r="E815" s="190"/>
      <c r="F815" s="209"/>
      <c r="G815" s="190"/>
      <c r="H815" s="190"/>
      <c r="I815" s="190"/>
      <c r="J815" s="190"/>
      <c r="K815" s="190"/>
      <c r="L815" s="190"/>
      <c r="M815" s="190"/>
      <c r="N815" s="190"/>
      <c r="O815" s="190"/>
      <c r="P815" s="190"/>
      <c r="Q815" s="190"/>
      <c r="R815" s="190"/>
      <c r="S815" s="190"/>
      <c r="T815" s="190"/>
      <c r="U815" s="190"/>
      <c r="V815" s="190"/>
      <c r="W815" s="190"/>
      <c r="X815" s="190"/>
      <c r="Y815" s="190"/>
      <c r="Z815" s="190"/>
    </row>
    <row r="816">
      <c r="A816" s="208"/>
      <c r="B816" s="190"/>
      <c r="C816" s="190"/>
      <c r="D816" s="190"/>
      <c r="E816" s="190"/>
      <c r="F816" s="209"/>
      <c r="G816" s="190"/>
      <c r="H816" s="190"/>
      <c r="I816" s="190"/>
      <c r="J816" s="190"/>
      <c r="K816" s="190"/>
      <c r="L816" s="190"/>
      <c r="M816" s="190"/>
      <c r="N816" s="190"/>
      <c r="O816" s="190"/>
      <c r="P816" s="190"/>
      <c r="Q816" s="190"/>
      <c r="R816" s="190"/>
      <c r="S816" s="190"/>
      <c r="T816" s="190"/>
      <c r="U816" s="190"/>
      <c r="V816" s="190"/>
      <c r="W816" s="190"/>
      <c r="X816" s="190"/>
      <c r="Y816" s="190"/>
      <c r="Z816" s="190"/>
    </row>
    <row r="817">
      <c r="A817" s="208"/>
      <c r="B817" s="190"/>
      <c r="C817" s="190"/>
      <c r="D817" s="190"/>
      <c r="E817" s="190"/>
      <c r="F817" s="209"/>
      <c r="G817" s="190"/>
      <c r="H817" s="190"/>
      <c r="I817" s="190"/>
      <c r="J817" s="190"/>
      <c r="K817" s="190"/>
      <c r="L817" s="190"/>
      <c r="M817" s="190"/>
      <c r="N817" s="190"/>
      <c r="O817" s="190"/>
      <c r="P817" s="190"/>
      <c r="Q817" s="190"/>
      <c r="R817" s="190"/>
      <c r="S817" s="190"/>
      <c r="T817" s="190"/>
      <c r="U817" s="190"/>
      <c r="V817" s="190"/>
      <c r="W817" s="190"/>
      <c r="X817" s="190"/>
      <c r="Y817" s="190"/>
      <c r="Z817" s="190"/>
    </row>
    <row r="818">
      <c r="A818" s="208"/>
      <c r="B818" s="190"/>
      <c r="C818" s="190"/>
      <c r="D818" s="190"/>
      <c r="E818" s="190"/>
      <c r="F818" s="209"/>
      <c r="G818" s="190"/>
      <c r="H818" s="190"/>
      <c r="I818" s="190"/>
      <c r="J818" s="190"/>
      <c r="K818" s="190"/>
      <c r="L818" s="190"/>
      <c r="M818" s="190"/>
      <c r="N818" s="190"/>
      <c r="O818" s="190"/>
      <c r="P818" s="190"/>
      <c r="Q818" s="190"/>
      <c r="R818" s="190"/>
      <c r="S818" s="190"/>
      <c r="T818" s="190"/>
      <c r="U818" s="190"/>
      <c r="V818" s="190"/>
      <c r="W818" s="190"/>
      <c r="X818" s="190"/>
      <c r="Y818" s="190"/>
      <c r="Z818" s="190"/>
    </row>
    <row r="819">
      <c r="A819" s="208"/>
      <c r="B819" s="190"/>
      <c r="C819" s="190"/>
      <c r="D819" s="190"/>
      <c r="E819" s="190"/>
      <c r="F819" s="209"/>
      <c r="G819" s="190"/>
      <c r="H819" s="190"/>
      <c r="I819" s="190"/>
      <c r="J819" s="190"/>
      <c r="K819" s="190"/>
      <c r="L819" s="190"/>
      <c r="M819" s="190"/>
      <c r="N819" s="190"/>
      <c r="O819" s="190"/>
      <c r="P819" s="190"/>
      <c r="Q819" s="190"/>
      <c r="R819" s="190"/>
      <c r="S819" s="190"/>
      <c r="T819" s="190"/>
      <c r="U819" s="190"/>
      <c r="V819" s="190"/>
      <c r="W819" s="190"/>
      <c r="X819" s="190"/>
      <c r="Y819" s="190"/>
      <c r="Z819" s="190"/>
    </row>
    <row r="820">
      <c r="A820" s="208"/>
      <c r="B820" s="190"/>
      <c r="C820" s="190"/>
      <c r="D820" s="190"/>
      <c r="E820" s="190"/>
      <c r="F820" s="209"/>
      <c r="G820" s="190"/>
      <c r="H820" s="190"/>
      <c r="I820" s="190"/>
      <c r="J820" s="190"/>
      <c r="K820" s="190"/>
      <c r="L820" s="190"/>
      <c r="M820" s="190"/>
      <c r="N820" s="190"/>
      <c r="O820" s="190"/>
      <c r="P820" s="190"/>
      <c r="Q820" s="190"/>
      <c r="R820" s="190"/>
      <c r="S820" s="190"/>
      <c r="T820" s="190"/>
      <c r="U820" s="190"/>
      <c r="V820" s="190"/>
      <c r="W820" s="190"/>
      <c r="X820" s="190"/>
      <c r="Y820" s="190"/>
      <c r="Z820" s="190"/>
    </row>
    <row r="821">
      <c r="A821" s="208"/>
      <c r="B821" s="190"/>
      <c r="C821" s="190"/>
      <c r="D821" s="190"/>
      <c r="E821" s="190"/>
      <c r="F821" s="209"/>
      <c r="G821" s="190"/>
      <c r="H821" s="190"/>
      <c r="I821" s="190"/>
      <c r="J821" s="190"/>
      <c r="K821" s="190"/>
      <c r="L821" s="190"/>
      <c r="M821" s="190"/>
      <c r="N821" s="190"/>
      <c r="O821" s="190"/>
      <c r="P821" s="190"/>
      <c r="Q821" s="190"/>
      <c r="R821" s="190"/>
      <c r="S821" s="190"/>
      <c r="T821" s="190"/>
      <c r="U821" s="190"/>
      <c r="V821" s="190"/>
      <c r="W821" s="190"/>
      <c r="X821" s="190"/>
      <c r="Y821" s="190"/>
      <c r="Z821" s="190"/>
    </row>
    <row r="822">
      <c r="A822" s="208"/>
      <c r="B822" s="190"/>
      <c r="C822" s="190"/>
      <c r="D822" s="190"/>
      <c r="E822" s="190"/>
      <c r="F822" s="209"/>
      <c r="G822" s="190"/>
      <c r="H822" s="190"/>
      <c r="I822" s="190"/>
      <c r="J822" s="190"/>
      <c r="K822" s="190"/>
      <c r="L822" s="190"/>
      <c r="M822" s="190"/>
      <c r="N822" s="190"/>
      <c r="O822" s="190"/>
      <c r="P822" s="190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</row>
    <row r="823">
      <c r="A823" s="208"/>
      <c r="B823" s="190"/>
      <c r="C823" s="190"/>
      <c r="D823" s="190"/>
      <c r="E823" s="190"/>
      <c r="F823" s="209"/>
      <c r="G823" s="190"/>
      <c r="H823" s="190"/>
      <c r="I823" s="190"/>
      <c r="J823" s="190"/>
      <c r="K823" s="190"/>
      <c r="L823" s="190"/>
      <c r="M823" s="190"/>
      <c r="N823" s="190"/>
      <c r="O823" s="190"/>
      <c r="P823" s="190"/>
      <c r="Q823" s="190"/>
      <c r="R823" s="190"/>
      <c r="S823" s="190"/>
      <c r="T823" s="190"/>
      <c r="U823" s="190"/>
      <c r="V823" s="190"/>
      <c r="W823" s="190"/>
      <c r="X823" s="190"/>
      <c r="Y823" s="190"/>
      <c r="Z823" s="190"/>
    </row>
    <row r="824">
      <c r="A824" s="208"/>
      <c r="B824" s="190"/>
      <c r="C824" s="190"/>
      <c r="D824" s="190"/>
      <c r="E824" s="190"/>
      <c r="F824" s="209"/>
      <c r="G824" s="190"/>
      <c r="H824" s="190"/>
      <c r="I824" s="190"/>
      <c r="J824" s="190"/>
      <c r="K824" s="190"/>
      <c r="L824" s="190"/>
      <c r="M824" s="190"/>
      <c r="N824" s="190"/>
      <c r="O824" s="190"/>
      <c r="P824" s="190"/>
      <c r="Q824" s="190"/>
      <c r="R824" s="190"/>
      <c r="S824" s="190"/>
      <c r="T824" s="190"/>
      <c r="U824" s="190"/>
      <c r="V824" s="190"/>
      <c r="W824" s="190"/>
      <c r="X824" s="190"/>
      <c r="Y824" s="190"/>
      <c r="Z824" s="190"/>
    </row>
    <row r="825">
      <c r="A825" s="208"/>
      <c r="B825" s="190"/>
      <c r="C825" s="190"/>
      <c r="D825" s="190"/>
      <c r="E825" s="190"/>
      <c r="F825" s="209"/>
      <c r="G825" s="190"/>
      <c r="H825" s="190"/>
      <c r="I825" s="190"/>
      <c r="J825" s="190"/>
      <c r="K825" s="190"/>
      <c r="L825" s="190"/>
      <c r="M825" s="190"/>
      <c r="N825" s="190"/>
      <c r="O825" s="190"/>
      <c r="P825" s="190"/>
      <c r="Q825" s="190"/>
      <c r="R825" s="190"/>
      <c r="S825" s="190"/>
      <c r="T825" s="190"/>
      <c r="U825" s="190"/>
      <c r="V825" s="190"/>
      <c r="W825" s="190"/>
      <c r="X825" s="190"/>
      <c r="Y825" s="190"/>
      <c r="Z825" s="190"/>
    </row>
    <row r="826">
      <c r="A826" s="208"/>
      <c r="B826" s="190"/>
      <c r="C826" s="190"/>
      <c r="D826" s="190"/>
      <c r="E826" s="190"/>
      <c r="F826" s="209"/>
      <c r="G826" s="190"/>
      <c r="H826" s="190"/>
      <c r="I826" s="190"/>
      <c r="J826" s="190"/>
      <c r="K826" s="190"/>
      <c r="L826" s="190"/>
      <c r="M826" s="190"/>
      <c r="N826" s="190"/>
      <c r="O826" s="190"/>
      <c r="P826" s="190"/>
      <c r="Q826" s="190"/>
      <c r="R826" s="190"/>
      <c r="S826" s="190"/>
      <c r="T826" s="190"/>
      <c r="U826" s="190"/>
      <c r="V826" s="190"/>
      <c r="W826" s="190"/>
      <c r="X826" s="190"/>
      <c r="Y826" s="190"/>
      <c r="Z826" s="190"/>
    </row>
    <row r="827">
      <c r="A827" s="208"/>
      <c r="B827" s="190"/>
      <c r="C827" s="190"/>
      <c r="D827" s="190"/>
      <c r="E827" s="190"/>
      <c r="F827" s="209"/>
      <c r="G827" s="190"/>
      <c r="H827" s="190"/>
      <c r="I827" s="190"/>
      <c r="J827" s="190"/>
      <c r="K827" s="190"/>
      <c r="L827" s="190"/>
      <c r="M827" s="190"/>
      <c r="N827" s="190"/>
      <c r="O827" s="190"/>
      <c r="P827" s="190"/>
      <c r="Q827" s="190"/>
      <c r="R827" s="190"/>
      <c r="S827" s="190"/>
      <c r="T827" s="190"/>
      <c r="U827" s="190"/>
      <c r="V827" s="190"/>
      <c r="W827" s="190"/>
      <c r="X827" s="190"/>
      <c r="Y827" s="190"/>
      <c r="Z827" s="190"/>
    </row>
    <row r="828">
      <c r="A828" s="208"/>
      <c r="B828" s="190"/>
      <c r="C828" s="190"/>
      <c r="D828" s="190"/>
      <c r="E828" s="190"/>
      <c r="F828" s="209"/>
      <c r="G828" s="190"/>
      <c r="H828" s="190"/>
      <c r="I828" s="190"/>
      <c r="J828" s="190"/>
      <c r="K828" s="190"/>
      <c r="L828" s="190"/>
      <c r="M828" s="190"/>
      <c r="N828" s="190"/>
      <c r="O828" s="190"/>
      <c r="P828" s="190"/>
      <c r="Q828" s="190"/>
      <c r="R828" s="190"/>
      <c r="S828" s="190"/>
      <c r="T828" s="190"/>
      <c r="U828" s="190"/>
      <c r="V828" s="190"/>
      <c r="W828" s="190"/>
      <c r="X828" s="190"/>
      <c r="Y828" s="190"/>
      <c r="Z828" s="190"/>
    </row>
    <row r="829">
      <c r="A829" s="208"/>
      <c r="B829" s="190"/>
      <c r="C829" s="190"/>
      <c r="D829" s="190"/>
      <c r="E829" s="190"/>
      <c r="F829" s="209"/>
      <c r="G829" s="190"/>
      <c r="H829" s="190"/>
      <c r="I829" s="190"/>
      <c r="J829" s="190"/>
      <c r="K829" s="190"/>
      <c r="L829" s="190"/>
      <c r="M829" s="190"/>
      <c r="N829" s="190"/>
      <c r="O829" s="190"/>
      <c r="P829" s="190"/>
      <c r="Q829" s="190"/>
      <c r="R829" s="190"/>
      <c r="S829" s="190"/>
      <c r="T829" s="190"/>
      <c r="U829" s="190"/>
      <c r="V829" s="190"/>
      <c r="W829" s="190"/>
      <c r="X829" s="190"/>
      <c r="Y829" s="190"/>
      <c r="Z829" s="190"/>
    </row>
    <row r="830">
      <c r="A830" s="208"/>
      <c r="B830" s="190"/>
      <c r="C830" s="190"/>
      <c r="D830" s="190"/>
      <c r="E830" s="190"/>
      <c r="F830" s="209"/>
      <c r="G830" s="190"/>
      <c r="H830" s="190"/>
      <c r="I830" s="190"/>
      <c r="J830" s="190"/>
      <c r="K830" s="190"/>
      <c r="L830" s="190"/>
      <c r="M830" s="190"/>
      <c r="N830" s="190"/>
      <c r="O830" s="190"/>
      <c r="P830" s="190"/>
      <c r="Q830" s="190"/>
      <c r="R830" s="190"/>
      <c r="S830" s="190"/>
      <c r="T830" s="190"/>
      <c r="U830" s="190"/>
      <c r="V830" s="190"/>
      <c r="W830" s="190"/>
      <c r="X830" s="190"/>
      <c r="Y830" s="190"/>
      <c r="Z830" s="190"/>
    </row>
    <row r="831">
      <c r="A831" s="208"/>
      <c r="B831" s="190"/>
      <c r="C831" s="190"/>
      <c r="D831" s="190"/>
      <c r="E831" s="190"/>
      <c r="F831" s="209"/>
      <c r="G831" s="190"/>
      <c r="H831" s="190"/>
      <c r="I831" s="190"/>
      <c r="J831" s="190"/>
      <c r="K831" s="190"/>
      <c r="L831" s="190"/>
      <c r="M831" s="190"/>
      <c r="N831" s="190"/>
      <c r="O831" s="190"/>
      <c r="P831" s="190"/>
      <c r="Q831" s="190"/>
      <c r="R831" s="190"/>
      <c r="S831" s="190"/>
      <c r="T831" s="190"/>
      <c r="U831" s="190"/>
      <c r="V831" s="190"/>
      <c r="W831" s="190"/>
      <c r="X831" s="190"/>
      <c r="Y831" s="190"/>
      <c r="Z831" s="190"/>
    </row>
    <row r="832">
      <c r="A832" s="208"/>
      <c r="B832" s="190"/>
      <c r="C832" s="190"/>
      <c r="D832" s="190"/>
      <c r="E832" s="190"/>
      <c r="F832" s="209"/>
      <c r="G832" s="190"/>
      <c r="H832" s="190"/>
      <c r="I832" s="190"/>
      <c r="J832" s="190"/>
      <c r="K832" s="190"/>
      <c r="L832" s="190"/>
      <c r="M832" s="190"/>
      <c r="N832" s="190"/>
      <c r="O832" s="190"/>
      <c r="P832" s="190"/>
      <c r="Q832" s="190"/>
      <c r="R832" s="190"/>
      <c r="S832" s="190"/>
      <c r="T832" s="190"/>
      <c r="U832" s="190"/>
      <c r="V832" s="190"/>
      <c r="W832" s="190"/>
      <c r="X832" s="190"/>
      <c r="Y832" s="190"/>
      <c r="Z832" s="190"/>
    </row>
    <row r="833">
      <c r="A833" s="208"/>
      <c r="B833" s="190"/>
      <c r="C833" s="190"/>
      <c r="D833" s="190"/>
      <c r="E833" s="190"/>
      <c r="F833" s="209"/>
      <c r="G833" s="190"/>
      <c r="H833" s="190"/>
      <c r="I833" s="190"/>
      <c r="J833" s="190"/>
      <c r="K833" s="190"/>
      <c r="L833" s="190"/>
      <c r="M833" s="190"/>
      <c r="N833" s="190"/>
      <c r="O833" s="190"/>
      <c r="P833" s="190"/>
      <c r="Q833" s="190"/>
      <c r="R833" s="190"/>
      <c r="S833" s="190"/>
      <c r="T833" s="190"/>
      <c r="U833" s="190"/>
      <c r="V833" s="190"/>
      <c r="W833" s="190"/>
      <c r="X833" s="190"/>
      <c r="Y833" s="190"/>
      <c r="Z833" s="190"/>
    </row>
    <row r="834">
      <c r="A834" s="208"/>
      <c r="B834" s="190"/>
      <c r="C834" s="190"/>
      <c r="D834" s="190"/>
      <c r="E834" s="190"/>
      <c r="F834" s="209"/>
      <c r="G834" s="190"/>
      <c r="H834" s="190"/>
      <c r="I834" s="190"/>
      <c r="J834" s="190"/>
      <c r="K834" s="190"/>
      <c r="L834" s="190"/>
      <c r="M834" s="190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</row>
    <row r="835">
      <c r="A835" s="208"/>
      <c r="B835" s="190"/>
      <c r="C835" s="190"/>
      <c r="D835" s="190"/>
      <c r="E835" s="190"/>
      <c r="F835" s="209"/>
      <c r="G835" s="190"/>
      <c r="H835" s="190"/>
      <c r="I835" s="190"/>
      <c r="J835" s="190"/>
      <c r="K835" s="190"/>
      <c r="L835" s="190"/>
      <c r="M835" s="190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</row>
    <row r="836">
      <c r="A836" s="208"/>
      <c r="B836" s="190"/>
      <c r="C836" s="190"/>
      <c r="D836" s="190"/>
      <c r="E836" s="190"/>
      <c r="F836" s="209"/>
      <c r="G836" s="190"/>
      <c r="H836" s="190"/>
      <c r="I836" s="190"/>
      <c r="J836" s="190"/>
      <c r="K836" s="190"/>
      <c r="L836" s="190"/>
      <c r="M836" s="190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</row>
    <row r="837">
      <c r="A837" s="208"/>
      <c r="B837" s="190"/>
      <c r="C837" s="190"/>
      <c r="D837" s="190"/>
      <c r="E837" s="190"/>
      <c r="F837" s="209"/>
      <c r="G837" s="190"/>
      <c r="H837" s="190"/>
      <c r="I837" s="190"/>
      <c r="J837" s="190"/>
      <c r="K837" s="190"/>
      <c r="L837" s="190"/>
      <c r="M837" s="190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</row>
    <row r="838">
      <c r="A838" s="208"/>
      <c r="B838" s="190"/>
      <c r="C838" s="190"/>
      <c r="D838" s="190"/>
      <c r="E838" s="190"/>
      <c r="F838" s="209"/>
      <c r="G838" s="190"/>
      <c r="H838" s="190"/>
      <c r="I838" s="190"/>
      <c r="J838" s="190"/>
      <c r="K838" s="190"/>
      <c r="L838" s="190"/>
      <c r="M838" s="190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</row>
    <row r="839">
      <c r="A839" s="208"/>
      <c r="B839" s="190"/>
      <c r="C839" s="190"/>
      <c r="D839" s="190"/>
      <c r="E839" s="190"/>
      <c r="F839" s="209"/>
      <c r="G839" s="190"/>
      <c r="H839" s="190"/>
      <c r="I839" s="190"/>
      <c r="J839" s="190"/>
      <c r="K839" s="190"/>
      <c r="L839" s="190"/>
      <c r="M839" s="190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</row>
    <row r="840">
      <c r="A840" s="208"/>
      <c r="B840" s="190"/>
      <c r="C840" s="190"/>
      <c r="D840" s="190"/>
      <c r="E840" s="190"/>
      <c r="F840" s="209"/>
      <c r="G840" s="190"/>
      <c r="H840" s="190"/>
      <c r="I840" s="190"/>
      <c r="J840" s="190"/>
      <c r="K840" s="190"/>
      <c r="L840" s="190"/>
      <c r="M840" s="190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</row>
    <row r="841">
      <c r="A841" s="208"/>
      <c r="B841" s="190"/>
      <c r="C841" s="190"/>
      <c r="D841" s="190"/>
      <c r="E841" s="190"/>
      <c r="F841" s="209"/>
      <c r="G841" s="190"/>
      <c r="H841" s="190"/>
      <c r="I841" s="190"/>
      <c r="J841" s="190"/>
      <c r="K841" s="190"/>
      <c r="L841" s="190"/>
      <c r="M841" s="190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</row>
    <row r="842">
      <c r="A842" s="208"/>
      <c r="B842" s="190"/>
      <c r="C842" s="190"/>
      <c r="D842" s="190"/>
      <c r="E842" s="190"/>
      <c r="F842" s="209"/>
      <c r="G842" s="190"/>
      <c r="H842" s="190"/>
      <c r="I842" s="190"/>
      <c r="J842" s="190"/>
      <c r="K842" s="190"/>
      <c r="L842" s="190"/>
      <c r="M842" s="190"/>
      <c r="N842" s="190"/>
      <c r="O842" s="190"/>
      <c r="P842" s="190"/>
      <c r="Q842" s="190"/>
      <c r="R842" s="190"/>
      <c r="S842" s="190"/>
      <c r="T842" s="190"/>
      <c r="U842" s="190"/>
      <c r="V842" s="190"/>
      <c r="W842" s="190"/>
      <c r="X842" s="190"/>
      <c r="Y842" s="190"/>
      <c r="Z842" s="190"/>
    </row>
    <row r="843">
      <c r="A843" s="208"/>
      <c r="B843" s="190"/>
      <c r="C843" s="190"/>
      <c r="D843" s="190"/>
      <c r="E843" s="190"/>
      <c r="F843" s="209"/>
      <c r="G843" s="190"/>
      <c r="H843" s="190"/>
      <c r="I843" s="190"/>
      <c r="J843" s="190"/>
      <c r="K843" s="190"/>
      <c r="L843" s="190"/>
      <c r="M843" s="190"/>
      <c r="N843" s="190"/>
      <c r="O843" s="190"/>
      <c r="P843" s="190"/>
      <c r="Q843" s="190"/>
      <c r="R843" s="190"/>
      <c r="S843" s="190"/>
      <c r="T843" s="190"/>
      <c r="U843" s="190"/>
      <c r="V843" s="190"/>
      <c r="W843" s="190"/>
      <c r="X843" s="190"/>
      <c r="Y843" s="190"/>
      <c r="Z843" s="190"/>
    </row>
    <row r="844">
      <c r="A844" s="208"/>
      <c r="B844" s="190"/>
      <c r="C844" s="190"/>
      <c r="D844" s="190"/>
      <c r="E844" s="190"/>
      <c r="F844" s="209"/>
      <c r="G844" s="190"/>
      <c r="H844" s="190"/>
      <c r="I844" s="190"/>
      <c r="J844" s="190"/>
      <c r="K844" s="190"/>
      <c r="L844" s="190"/>
      <c r="M844" s="190"/>
      <c r="N844" s="190"/>
      <c r="O844" s="190"/>
      <c r="P844" s="190"/>
      <c r="Q844" s="190"/>
      <c r="R844" s="190"/>
      <c r="S844" s="190"/>
      <c r="T844" s="190"/>
      <c r="U844" s="190"/>
      <c r="V844" s="190"/>
      <c r="W844" s="190"/>
      <c r="X844" s="190"/>
      <c r="Y844" s="190"/>
      <c r="Z844" s="190"/>
    </row>
    <row r="845">
      <c r="A845" s="208"/>
      <c r="B845" s="190"/>
      <c r="C845" s="190"/>
      <c r="D845" s="190"/>
      <c r="E845" s="190"/>
      <c r="F845" s="209"/>
      <c r="G845" s="190"/>
      <c r="H845" s="190"/>
      <c r="I845" s="190"/>
      <c r="J845" s="190"/>
      <c r="K845" s="190"/>
      <c r="L845" s="190"/>
      <c r="M845" s="190"/>
      <c r="N845" s="190"/>
      <c r="O845" s="190"/>
      <c r="P845" s="190"/>
      <c r="Q845" s="190"/>
      <c r="R845" s="190"/>
      <c r="S845" s="190"/>
      <c r="T845" s="190"/>
      <c r="U845" s="190"/>
      <c r="V845" s="190"/>
      <c r="W845" s="190"/>
      <c r="X845" s="190"/>
      <c r="Y845" s="190"/>
      <c r="Z845" s="190"/>
    </row>
    <row r="846">
      <c r="A846" s="208"/>
      <c r="B846" s="190"/>
      <c r="C846" s="190"/>
      <c r="D846" s="190"/>
      <c r="E846" s="190"/>
      <c r="F846" s="209"/>
      <c r="G846" s="190"/>
      <c r="H846" s="190"/>
      <c r="I846" s="190"/>
      <c r="J846" s="190"/>
      <c r="K846" s="190"/>
      <c r="L846" s="190"/>
      <c r="M846" s="190"/>
      <c r="N846" s="190"/>
      <c r="O846" s="190"/>
      <c r="P846" s="190"/>
      <c r="Q846" s="190"/>
      <c r="R846" s="190"/>
      <c r="S846" s="190"/>
      <c r="T846" s="190"/>
      <c r="U846" s="190"/>
      <c r="V846" s="190"/>
      <c r="W846" s="190"/>
      <c r="X846" s="190"/>
      <c r="Y846" s="190"/>
      <c r="Z846" s="190"/>
    </row>
    <row r="847">
      <c r="A847" s="208"/>
      <c r="B847" s="190"/>
      <c r="C847" s="190"/>
      <c r="D847" s="190"/>
      <c r="E847" s="190"/>
      <c r="F847" s="209"/>
      <c r="G847" s="190"/>
      <c r="H847" s="190"/>
      <c r="I847" s="190"/>
      <c r="J847" s="190"/>
      <c r="K847" s="190"/>
      <c r="L847" s="190"/>
      <c r="M847" s="190"/>
      <c r="N847" s="190"/>
      <c r="O847" s="190"/>
      <c r="P847" s="190"/>
      <c r="Q847" s="190"/>
      <c r="R847" s="190"/>
      <c r="S847" s="190"/>
      <c r="T847" s="190"/>
      <c r="U847" s="190"/>
      <c r="V847" s="190"/>
      <c r="W847" s="190"/>
      <c r="X847" s="190"/>
      <c r="Y847" s="190"/>
      <c r="Z847" s="190"/>
    </row>
    <row r="848">
      <c r="A848" s="208"/>
      <c r="B848" s="190"/>
      <c r="C848" s="190"/>
      <c r="D848" s="190"/>
      <c r="E848" s="190"/>
      <c r="F848" s="209"/>
      <c r="G848" s="190"/>
      <c r="H848" s="190"/>
      <c r="I848" s="190"/>
      <c r="J848" s="190"/>
      <c r="K848" s="190"/>
      <c r="L848" s="190"/>
      <c r="M848" s="190"/>
      <c r="N848" s="190"/>
      <c r="O848" s="190"/>
      <c r="P848" s="190"/>
      <c r="Q848" s="190"/>
      <c r="R848" s="190"/>
      <c r="S848" s="190"/>
      <c r="T848" s="190"/>
      <c r="U848" s="190"/>
      <c r="V848" s="190"/>
      <c r="W848" s="190"/>
      <c r="X848" s="190"/>
      <c r="Y848" s="190"/>
      <c r="Z848" s="190"/>
    </row>
    <row r="849">
      <c r="A849" s="208"/>
      <c r="B849" s="190"/>
      <c r="C849" s="190"/>
      <c r="D849" s="190"/>
      <c r="E849" s="190"/>
      <c r="F849" s="209"/>
      <c r="G849" s="190"/>
      <c r="H849" s="190"/>
      <c r="I849" s="190"/>
      <c r="J849" s="190"/>
      <c r="K849" s="190"/>
      <c r="L849" s="190"/>
      <c r="M849" s="190"/>
      <c r="N849" s="190"/>
      <c r="O849" s="190"/>
      <c r="P849" s="190"/>
      <c r="Q849" s="190"/>
      <c r="R849" s="190"/>
      <c r="S849" s="190"/>
      <c r="T849" s="190"/>
      <c r="U849" s="190"/>
      <c r="V849" s="190"/>
      <c r="W849" s="190"/>
      <c r="X849" s="190"/>
      <c r="Y849" s="190"/>
      <c r="Z849" s="190"/>
    </row>
    <row r="850">
      <c r="A850" s="208"/>
      <c r="B850" s="190"/>
      <c r="C850" s="190"/>
      <c r="D850" s="190"/>
      <c r="E850" s="190"/>
      <c r="F850" s="209"/>
      <c r="G850" s="190"/>
      <c r="H850" s="190"/>
      <c r="I850" s="190"/>
      <c r="J850" s="190"/>
      <c r="K850" s="190"/>
      <c r="L850" s="190"/>
      <c r="M850" s="190"/>
      <c r="N850" s="190"/>
      <c r="O850" s="190"/>
      <c r="P850" s="190"/>
      <c r="Q850" s="190"/>
      <c r="R850" s="190"/>
      <c r="S850" s="190"/>
      <c r="T850" s="190"/>
      <c r="U850" s="190"/>
      <c r="V850" s="190"/>
      <c r="W850" s="190"/>
      <c r="X850" s="190"/>
      <c r="Y850" s="190"/>
      <c r="Z850" s="190"/>
    </row>
    <row r="851">
      <c r="A851" s="208"/>
      <c r="B851" s="190"/>
      <c r="C851" s="190"/>
      <c r="D851" s="190"/>
      <c r="E851" s="190"/>
      <c r="F851" s="209"/>
      <c r="G851" s="190"/>
      <c r="H851" s="190"/>
      <c r="I851" s="190"/>
      <c r="J851" s="190"/>
      <c r="K851" s="190"/>
      <c r="L851" s="190"/>
      <c r="M851" s="190"/>
      <c r="N851" s="190"/>
      <c r="O851" s="190"/>
      <c r="P851" s="190"/>
      <c r="Q851" s="190"/>
      <c r="R851" s="190"/>
      <c r="S851" s="190"/>
      <c r="T851" s="190"/>
      <c r="U851" s="190"/>
      <c r="V851" s="190"/>
      <c r="W851" s="190"/>
      <c r="X851" s="190"/>
      <c r="Y851" s="190"/>
      <c r="Z851" s="190"/>
    </row>
    <row r="852">
      <c r="A852" s="208"/>
      <c r="B852" s="190"/>
      <c r="C852" s="190"/>
      <c r="D852" s="190"/>
      <c r="E852" s="190"/>
      <c r="F852" s="209"/>
      <c r="G852" s="190"/>
      <c r="H852" s="190"/>
      <c r="I852" s="190"/>
      <c r="J852" s="190"/>
      <c r="K852" s="190"/>
      <c r="L852" s="190"/>
      <c r="M852" s="190"/>
      <c r="N852" s="190"/>
      <c r="O852" s="190"/>
      <c r="P852" s="190"/>
      <c r="Q852" s="190"/>
      <c r="R852" s="190"/>
      <c r="S852" s="190"/>
      <c r="T852" s="190"/>
      <c r="U852" s="190"/>
      <c r="V852" s="190"/>
      <c r="W852" s="190"/>
      <c r="X852" s="190"/>
      <c r="Y852" s="190"/>
      <c r="Z852" s="190"/>
    </row>
    <row r="853">
      <c r="A853" s="208"/>
      <c r="B853" s="190"/>
      <c r="C853" s="190"/>
      <c r="D853" s="190"/>
      <c r="E853" s="190"/>
      <c r="F853" s="209"/>
      <c r="G853" s="190"/>
      <c r="H853" s="190"/>
      <c r="I853" s="190"/>
      <c r="J853" s="190"/>
      <c r="K853" s="190"/>
      <c r="L853" s="190"/>
      <c r="M853" s="190"/>
      <c r="N853" s="190"/>
      <c r="O853" s="190"/>
      <c r="P853" s="190"/>
      <c r="Q853" s="190"/>
      <c r="R853" s="190"/>
      <c r="S853" s="190"/>
      <c r="T853" s="190"/>
      <c r="U853" s="190"/>
      <c r="V853" s="190"/>
      <c r="W853" s="190"/>
      <c r="X853" s="190"/>
      <c r="Y853" s="190"/>
      <c r="Z853" s="190"/>
    </row>
    <row r="854">
      <c r="A854" s="208"/>
      <c r="B854" s="190"/>
      <c r="C854" s="190"/>
      <c r="D854" s="190"/>
      <c r="E854" s="190"/>
      <c r="F854" s="209"/>
      <c r="G854" s="190"/>
      <c r="H854" s="190"/>
      <c r="I854" s="190"/>
      <c r="J854" s="190"/>
      <c r="K854" s="190"/>
      <c r="L854" s="190"/>
      <c r="M854" s="190"/>
      <c r="N854" s="190"/>
      <c r="O854" s="190"/>
      <c r="P854" s="190"/>
      <c r="Q854" s="190"/>
      <c r="R854" s="190"/>
      <c r="S854" s="190"/>
      <c r="T854" s="190"/>
      <c r="U854" s="190"/>
      <c r="V854" s="190"/>
      <c r="W854" s="190"/>
      <c r="X854" s="190"/>
      <c r="Y854" s="190"/>
      <c r="Z854" s="190"/>
    </row>
    <row r="855">
      <c r="A855" s="208"/>
      <c r="B855" s="190"/>
      <c r="C855" s="190"/>
      <c r="D855" s="190"/>
      <c r="E855" s="190"/>
      <c r="F855" s="209"/>
      <c r="G855" s="190"/>
      <c r="H855" s="190"/>
      <c r="I855" s="190"/>
      <c r="J855" s="190"/>
      <c r="K855" s="190"/>
      <c r="L855" s="190"/>
      <c r="M855" s="190"/>
      <c r="N855" s="190"/>
      <c r="O855" s="190"/>
      <c r="P855" s="190"/>
      <c r="Q855" s="190"/>
      <c r="R855" s="190"/>
      <c r="S855" s="190"/>
      <c r="T855" s="190"/>
      <c r="U855" s="190"/>
      <c r="V855" s="190"/>
      <c r="W855" s="190"/>
      <c r="X855" s="190"/>
      <c r="Y855" s="190"/>
      <c r="Z855" s="190"/>
    </row>
    <row r="856">
      <c r="A856" s="208"/>
      <c r="B856" s="190"/>
      <c r="C856" s="190"/>
      <c r="D856" s="190"/>
      <c r="E856" s="190"/>
      <c r="F856" s="209"/>
      <c r="G856" s="190"/>
      <c r="H856" s="190"/>
      <c r="I856" s="190"/>
      <c r="J856" s="190"/>
      <c r="K856" s="190"/>
      <c r="L856" s="190"/>
      <c r="M856" s="190"/>
      <c r="N856" s="190"/>
      <c r="O856" s="190"/>
      <c r="P856" s="190"/>
      <c r="Q856" s="190"/>
      <c r="R856" s="190"/>
      <c r="S856" s="190"/>
      <c r="T856" s="190"/>
      <c r="U856" s="190"/>
      <c r="V856" s="190"/>
      <c r="W856" s="190"/>
      <c r="X856" s="190"/>
      <c r="Y856" s="190"/>
      <c r="Z856" s="190"/>
    </row>
    <row r="857">
      <c r="A857" s="208"/>
      <c r="B857" s="190"/>
      <c r="C857" s="190"/>
      <c r="D857" s="190"/>
      <c r="E857" s="190"/>
      <c r="F857" s="209"/>
      <c r="G857" s="190"/>
      <c r="H857" s="190"/>
      <c r="I857" s="190"/>
      <c r="J857" s="190"/>
      <c r="K857" s="190"/>
      <c r="L857" s="190"/>
      <c r="M857" s="190"/>
      <c r="N857" s="190"/>
      <c r="O857" s="190"/>
      <c r="P857" s="190"/>
      <c r="Q857" s="190"/>
      <c r="R857" s="190"/>
      <c r="S857" s="190"/>
      <c r="T857" s="190"/>
      <c r="U857" s="190"/>
      <c r="V857" s="190"/>
      <c r="W857" s="190"/>
      <c r="X857" s="190"/>
      <c r="Y857" s="190"/>
      <c r="Z857" s="190"/>
    </row>
    <row r="858">
      <c r="A858" s="208"/>
      <c r="B858" s="190"/>
      <c r="C858" s="190"/>
      <c r="D858" s="190"/>
      <c r="E858" s="190"/>
      <c r="F858" s="209"/>
      <c r="G858" s="190"/>
      <c r="H858" s="190"/>
      <c r="I858" s="190"/>
      <c r="J858" s="190"/>
      <c r="K858" s="190"/>
      <c r="L858" s="190"/>
      <c r="M858" s="190"/>
      <c r="N858" s="190"/>
      <c r="O858" s="190"/>
      <c r="P858" s="190"/>
      <c r="Q858" s="190"/>
      <c r="R858" s="190"/>
      <c r="S858" s="190"/>
      <c r="T858" s="190"/>
      <c r="U858" s="190"/>
      <c r="V858" s="190"/>
      <c r="W858" s="190"/>
      <c r="X858" s="190"/>
      <c r="Y858" s="190"/>
      <c r="Z858" s="190"/>
    </row>
    <row r="859">
      <c r="A859" s="208"/>
      <c r="B859" s="190"/>
      <c r="C859" s="190"/>
      <c r="D859" s="190"/>
      <c r="E859" s="190"/>
      <c r="F859" s="209"/>
      <c r="G859" s="190"/>
      <c r="H859" s="190"/>
      <c r="I859" s="190"/>
      <c r="J859" s="190"/>
      <c r="K859" s="190"/>
      <c r="L859" s="190"/>
      <c r="M859" s="190"/>
      <c r="N859" s="190"/>
      <c r="O859" s="190"/>
      <c r="P859" s="190"/>
      <c r="Q859" s="190"/>
      <c r="R859" s="190"/>
      <c r="S859" s="190"/>
      <c r="T859" s="190"/>
      <c r="U859" s="190"/>
      <c r="V859" s="190"/>
      <c r="W859" s="190"/>
      <c r="X859" s="190"/>
      <c r="Y859" s="190"/>
      <c r="Z859" s="190"/>
    </row>
    <row r="860">
      <c r="A860" s="208"/>
      <c r="B860" s="190"/>
      <c r="C860" s="190"/>
      <c r="D860" s="190"/>
      <c r="E860" s="190"/>
      <c r="F860" s="209"/>
      <c r="G860" s="190"/>
      <c r="H860" s="190"/>
      <c r="I860" s="190"/>
      <c r="J860" s="190"/>
      <c r="K860" s="190"/>
      <c r="L860" s="190"/>
      <c r="M860" s="190"/>
      <c r="N860" s="190"/>
      <c r="O860" s="190"/>
      <c r="P860" s="190"/>
      <c r="Q860" s="190"/>
      <c r="R860" s="190"/>
      <c r="S860" s="190"/>
      <c r="T860" s="190"/>
      <c r="U860" s="190"/>
      <c r="V860" s="190"/>
      <c r="W860" s="190"/>
      <c r="X860" s="190"/>
      <c r="Y860" s="190"/>
      <c r="Z860" s="190"/>
    </row>
    <row r="861">
      <c r="A861" s="208"/>
      <c r="B861" s="190"/>
      <c r="C861" s="190"/>
      <c r="D861" s="190"/>
      <c r="E861" s="190"/>
      <c r="F861" s="209"/>
      <c r="G861" s="190"/>
      <c r="H861" s="190"/>
      <c r="I861" s="190"/>
      <c r="J861" s="190"/>
      <c r="K861" s="190"/>
      <c r="L861" s="190"/>
      <c r="M861" s="190"/>
      <c r="N861" s="190"/>
      <c r="O861" s="190"/>
      <c r="P861" s="190"/>
      <c r="Q861" s="190"/>
      <c r="R861" s="190"/>
      <c r="S861" s="190"/>
      <c r="T861" s="190"/>
      <c r="U861" s="190"/>
      <c r="V861" s="190"/>
      <c r="W861" s="190"/>
      <c r="X861" s="190"/>
      <c r="Y861" s="190"/>
      <c r="Z861" s="190"/>
    </row>
    <row r="862">
      <c r="A862" s="208"/>
      <c r="B862" s="190"/>
      <c r="C862" s="190"/>
      <c r="D862" s="190"/>
      <c r="E862" s="190"/>
      <c r="F862" s="209"/>
      <c r="G862" s="190"/>
      <c r="H862" s="190"/>
      <c r="I862" s="190"/>
      <c r="J862" s="190"/>
      <c r="K862" s="190"/>
      <c r="L862" s="190"/>
      <c r="M862" s="190"/>
      <c r="N862" s="190"/>
      <c r="O862" s="190"/>
      <c r="P862" s="190"/>
      <c r="Q862" s="190"/>
      <c r="R862" s="190"/>
      <c r="S862" s="190"/>
      <c r="T862" s="190"/>
      <c r="U862" s="190"/>
      <c r="V862" s="190"/>
      <c r="W862" s="190"/>
      <c r="X862" s="190"/>
      <c r="Y862" s="190"/>
      <c r="Z862" s="190"/>
    </row>
    <row r="863">
      <c r="A863" s="208"/>
      <c r="B863" s="190"/>
      <c r="C863" s="190"/>
      <c r="D863" s="190"/>
      <c r="E863" s="190"/>
      <c r="F863" s="209"/>
      <c r="G863" s="190"/>
      <c r="H863" s="190"/>
      <c r="I863" s="190"/>
      <c r="J863" s="190"/>
      <c r="K863" s="190"/>
      <c r="L863" s="190"/>
      <c r="M863" s="190"/>
      <c r="N863" s="190"/>
      <c r="O863" s="190"/>
      <c r="P863" s="190"/>
      <c r="Q863" s="190"/>
      <c r="R863" s="190"/>
      <c r="S863" s="190"/>
      <c r="T863" s="190"/>
      <c r="U863" s="190"/>
      <c r="V863" s="190"/>
      <c r="W863" s="190"/>
      <c r="X863" s="190"/>
      <c r="Y863" s="190"/>
      <c r="Z863" s="190"/>
    </row>
    <row r="864">
      <c r="A864" s="208"/>
      <c r="B864" s="190"/>
      <c r="C864" s="190"/>
      <c r="D864" s="190"/>
      <c r="E864" s="190"/>
      <c r="F864" s="209"/>
      <c r="G864" s="190"/>
      <c r="H864" s="190"/>
      <c r="I864" s="190"/>
      <c r="J864" s="190"/>
      <c r="K864" s="190"/>
      <c r="L864" s="190"/>
      <c r="M864" s="190"/>
      <c r="N864" s="190"/>
      <c r="O864" s="190"/>
      <c r="P864" s="190"/>
      <c r="Q864" s="190"/>
      <c r="R864" s="190"/>
      <c r="S864" s="190"/>
      <c r="T864" s="190"/>
      <c r="U864" s="190"/>
      <c r="V864" s="190"/>
      <c r="W864" s="190"/>
      <c r="X864" s="190"/>
      <c r="Y864" s="190"/>
      <c r="Z864" s="190"/>
    </row>
    <row r="865">
      <c r="A865" s="208"/>
      <c r="B865" s="190"/>
      <c r="C865" s="190"/>
      <c r="D865" s="190"/>
      <c r="E865" s="190"/>
      <c r="F865" s="209"/>
      <c r="G865" s="190"/>
      <c r="H865" s="190"/>
      <c r="I865" s="190"/>
      <c r="J865" s="190"/>
      <c r="K865" s="190"/>
      <c r="L865" s="190"/>
      <c r="M865" s="190"/>
      <c r="N865" s="190"/>
      <c r="O865" s="190"/>
      <c r="P865" s="190"/>
      <c r="Q865" s="190"/>
      <c r="R865" s="190"/>
      <c r="S865" s="190"/>
      <c r="T865" s="190"/>
      <c r="U865" s="190"/>
      <c r="V865" s="190"/>
      <c r="W865" s="190"/>
      <c r="X865" s="190"/>
      <c r="Y865" s="190"/>
      <c r="Z865" s="190"/>
    </row>
    <row r="866">
      <c r="A866" s="208"/>
      <c r="B866" s="190"/>
      <c r="C866" s="190"/>
      <c r="D866" s="190"/>
      <c r="E866" s="190"/>
      <c r="F866" s="209"/>
      <c r="G866" s="190"/>
      <c r="H866" s="190"/>
      <c r="I866" s="190"/>
      <c r="J866" s="190"/>
      <c r="K866" s="190"/>
      <c r="L866" s="190"/>
      <c r="M866" s="190"/>
      <c r="N866" s="190"/>
      <c r="O866" s="190"/>
      <c r="P866" s="190"/>
      <c r="Q866" s="190"/>
      <c r="R866" s="190"/>
      <c r="S866" s="190"/>
      <c r="T866" s="190"/>
      <c r="U866" s="190"/>
      <c r="V866" s="190"/>
      <c r="W866" s="190"/>
      <c r="X866" s="190"/>
      <c r="Y866" s="190"/>
      <c r="Z866" s="190"/>
    </row>
    <row r="867">
      <c r="A867" s="208"/>
      <c r="B867" s="190"/>
      <c r="C867" s="190"/>
      <c r="D867" s="190"/>
      <c r="E867" s="190"/>
      <c r="F867" s="209"/>
      <c r="G867" s="190"/>
      <c r="H867" s="190"/>
      <c r="I867" s="190"/>
      <c r="J867" s="190"/>
      <c r="K867" s="190"/>
      <c r="L867" s="190"/>
      <c r="M867" s="190"/>
      <c r="N867" s="190"/>
      <c r="O867" s="190"/>
      <c r="P867" s="190"/>
      <c r="Q867" s="190"/>
      <c r="R867" s="190"/>
      <c r="S867" s="190"/>
      <c r="T867" s="190"/>
      <c r="U867" s="190"/>
      <c r="V867" s="190"/>
      <c r="W867" s="190"/>
      <c r="X867" s="190"/>
      <c r="Y867" s="190"/>
      <c r="Z867" s="190"/>
    </row>
    <row r="868">
      <c r="A868" s="208"/>
      <c r="B868" s="190"/>
      <c r="C868" s="190"/>
      <c r="D868" s="190"/>
      <c r="E868" s="190"/>
      <c r="F868" s="209"/>
      <c r="G868" s="190"/>
      <c r="H868" s="190"/>
      <c r="I868" s="190"/>
      <c r="J868" s="190"/>
      <c r="K868" s="190"/>
      <c r="L868" s="190"/>
      <c r="M868" s="190"/>
      <c r="N868" s="190"/>
      <c r="O868" s="190"/>
      <c r="P868" s="190"/>
      <c r="Q868" s="190"/>
      <c r="R868" s="190"/>
      <c r="S868" s="190"/>
      <c r="T868" s="190"/>
      <c r="U868" s="190"/>
      <c r="V868" s="190"/>
      <c r="W868" s="190"/>
      <c r="X868" s="190"/>
      <c r="Y868" s="190"/>
      <c r="Z868" s="190"/>
    </row>
    <row r="869">
      <c r="A869" s="208"/>
      <c r="B869" s="190"/>
      <c r="C869" s="190"/>
      <c r="D869" s="190"/>
      <c r="E869" s="190"/>
      <c r="F869" s="209"/>
      <c r="G869" s="190"/>
      <c r="H869" s="190"/>
      <c r="I869" s="190"/>
      <c r="J869" s="190"/>
      <c r="K869" s="190"/>
      <c r="L869" s="190"/>
      <c r="M869" s="190"/>
      <c r="N869" s="190"/>
      <c r="O869" s="190"/>
      <c r="P869" s="190"/>
      <c r="Q869" s="190"/>
      <c r="R869" s="190"/>
      <c r="S869" s="190"/>
      <c r="T869" s="190"/>
      <c r="U869" s="190"/>
      <c r="V869" s="190"/>
      <c r="W869" s="190"/>
      <c r="X869" s="190"/>
      <c r="Y869" s="190"/>
      <c r="Z869" s="190"/>
    </row>
    <row r="870">
      <c r="A870" s="208"/>
      <c r="B870" s="190"/>
      <c r="C870" s="190"/>
      <c r="D870" s="190"/>
      <c r="E870" s="190"/>
      <c r="F870" s="209"/>
      <c r="G870" s="190"/>
      <c r="H870" s="190"/>
      <c r="I870" s="190"/>
      <c r="J870" s="190"/>
      <c r="K870" s="190"/>
      <c r="L870" s="190"/>
      <c r="M870" s="190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</row>
    <row r="871">
      <c r="A871" s="208"/>
      <c r="B871" s="190"/>
      <c r="C871" s="190"/>
      <c r="D871" s="190"/>
      <c r="E871" s="190"/>
      <c r="F871" s="209"/>
      <c r="G871" s="190"/>
      <c r="H871" s="190"/>
      <c r="I871" s="190"/>
      <c r="J871" s="190"/>
      <c r="K871" s="190"/>
      <c r="L871" s="190"/>
      <c r="M871" s="190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</row>
    <row r="872">
      <c r="A872" s="208"/>
      <c r="B872" s="190"/>
      <c r="C872" s="190"/>
      <c r="D872" s="190"/>
      <c r="E872" s="190"/>
      <c r="F872" s="209"/>
      <c r="G872" s="190"/>
      <c r="H872" s="190"/>
      <c r="I872" s="190"/>
      <c r="J872" s="190"/>
      <c r="K872" s="190"/>
      <c r="L872" s="190"/>
      <c r="M872" s="190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</row>
    <row r="873">
      <c r="A873" s="208"/>
      <c r="B873" s="190"/>
      <c r="C873" s="190"/>
      <c r="D873" s="190"/>
      <c r="E873" s="190"/>
      <c r="F873" s="209"/>
      <c r="G873" s="190"/>
      <c r="H873" s="190"/>
      <c r="I873" s="190"/>
      <c r="J873" s="190"/>
      <c r="K873" s="190"/>
      <c r="L873" s="190"/>
      <c r="M873" s="190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</row>
    <row r="874">
      <c r="A874" s="208"/>
      <c r="B874" s="190"/>
      <c r="C874" s="190"/>
      <c r="D874" s="190"/>
      <c r="E874" s="190"/>
      <c r="F874" s="209"/>
      <c r="G874" s="190"/>
      <c r="H874" s="190"/>
      <c r="I874" s="190"/>
      <c r="J874" s="190"/>
      <c r="K874" s="190"/>
      <c r="L874" s="190"/>
      <c r="M874" s="190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</row>
    <row r="875">
      <c r="A875" s="208"/>
      <c r="B875" s="190"/>
      <c r="C875" s="190"/>
      <c r="D875" s="190"/>
      <c r="E875" s="190"/>
      <c r="F875" s="209"/>
      <c r="G875" s="190"/>
      <c r="H875" s="190"/>
      <c r="I875" s="190"/>
      <c r="J875" s="190"/>
      <c r="K875" s="190"/>
      <c r="L875" s="190"/>
      <c r="M875" s="190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</row>
    <row r="876">
      <c r="A876" s="208"/>
      <c r="B876" s="190"/>
      <c r="C876" s="190"/>
      <c r="D876" s="190"/>
      <c r="E876" s="190"/>
      <c r="F876" s="209"/>
      <c r="G876" s="190"/>
      <c r="H876" s="190"/>
      <c r="I876" s="190"/>
      <c r="J876" s="190"/>
      <c r="K876" s="190"/>
      <c r="L876" s="190"/>
      <c r="M876" s="190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</row>
    <row r="877">
      <c r="A877" s="208"/>
      <c r="B877" s="190"/>
      <c r="C877" s="190"/>
      <c r="D877" s="190"/>
      <c r="E877" s="190"/>
      <c r="F877" s="209"/>
      <c r="G877" s="190"/>
      <c r="H877" s="190"/>
      <c r="I877" s="190"/>
      <c r="J877" s="190"/>
      <c r="K877" s="190"/>
      <c r="L877" s="190"/>
      <c r="M877" s="190"/>
      <c r="N877" s="190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</row>
    <row r="878">
      <c r="A878" s="208"/>
      <c r="B878" s="190"/>
      <c r="C878" s="190"/>
      <c r="D878" s="190"/>
      <c r="E878" s="190"/>
      <c r="F878" s="209"/>
      <c r="G878" s="190"/>
      <c r="H878" s="190"/>
      <c r="I878" s="190"/>
      <c r="J878" s="190"/>
      <c r="K878" s="190"/>
      <c r="L878" s="190"/>
      <c r="M878" s="190"/>
      <c r="N878" s="190"/>
      <c r="O878" s="190"/>
      <c r="P878" s="190"/>
      <c r="Q878" s="190"/>
      <c r="R878" s="190"/>
      <c r="S878" s="190"/>
      <c r="T878" s="190"/>
      <c r="U878" s="190"/>
      <c r="V878" s="190"/>
      <c r="W878" s="190"/>
      <c r="X878" s="190"/>
      <c r="Y878" s="190"/>
      <c r="Z878" s="190"/>
    </row>
    <row r="879">
      <c r="A879" s="208"/>
      <c r="B879" s="190"/>
      <c r="C879" s="190"/>
      <c r="D879" s="190"/>
      <c r="E879" s="190"/>
      <c r="F879" s="209"/>
      <c r="G879" s="190"/>
      <c r="H879" s="190"/>
      <c r="I879" s="190"/>
      <c r="J879" s="190"/>
      <c r="K879" s="190"/>
      <c r="L879" s="190"/>
      <c r="M879" s="190"/>
      <c r="N879" s="190"/>
      <c r="O879" s="190"/>
      <c r="P879" s="190"/>
      <c r="Q879" s="190"/>
      <c r="R879" s="190"/>
      <c r="S879" s="190"/>
      <c r="T879" s="190"/>
      <c r="U879" s="190"/>
      <c r="V879" s="190"/>
      <c r="W879" s="190"/>
      <c r="X879" s="190"/>
      <c r="Y879" s="190"/>
      <c r="Z879" s="190"/>
    </row>
    <row r="880">
      <c r="A880" s="208"/>
      <c r="B880" s="190"/>
      <c r="C880" s="190"/>
      <c r="D880" s="190"/>
      <c r="E880" s="190"/>
      <c r="F880" s="209"/>
      <c r="G880" s="190"/>
      <c r="H880" s="190"/>
      <c r="I880" s="190"/>
      <c r="J880" s="190"/>
      <c r="K880" s="190"/>
      <c r="L880" s="190"/>
      <c r="M880" s="190"/>
      <c r="N880" s="190"/>
      <c r="O880" s="190"/>
      <c r="P880" s="190"/>
      <c r="Q880" s="190"/>
      <c r="R880" s="190"/>
      <c r="S880" s="190"/>
      <c r="T880" s="190"/>
      <c r="U880" s="190"/>
      <c r="V880" s="190"/>
      <c r="W880" s="190"/>
      <c r="X880" s="190"/>
      <c r="Y880" s="190"/>
      <c r="Z880" s="190"/>
    </row>
    <row r="881">
      <c r="A881" s="208"/>
      <c r="B881" s="190"/>
      <c r="C881" s="190"/>
      <c r="D881" s="190"/>
      <c r="E881" s="190"/>
      <c r="F881" s="209"/>
      <c r="G881" s="190"/>
      <c r="H881" s="190"/>
      <c r="I881" s="190"/>
      <c r="J881" s="190"/>
      <c r="K881" s="190"/>
      <c r="L881" s="190"/>
      <c r="M881" s="190"/>
      <c r="N881" s="190"/>
      <c r="O881" s="190"/>
      <c r="P881" s="190"/>
      <c r="Q881" s="190"/>
      <c r="R881" s="190"/>
      <c r="S881" s="190"/>
      <c r="T881" s="190"/>
      <c r="U881" s="190"/>
      <c r="V881" s="190"/>
      <c r="W881" s="190"/>
      <c r="X881" s="190"/>
      <c r="Y881" s="190"/>
      <c r="Z881" s="190"/>
    </row>
    <row r="882">
      <c r="A882" s="208"/>
      <c r="B882" s="190"/>
      <c r="C882" s="190"/>
      <c r="D882" s="190"/>
      <c r="E882" s="190"/>
      <c r="F882" s="209"/>
      <c r="G882" s="190"/>
      <c r="H882" s="190"/>
      <c r="I882" s="190"/>
      <c r="J882" s="190"/>
      <c r="K882" s="190"/>
      <c r="L882" s="190"/>
      <c r="M882" s="190"/>
      <c r="N882" s="190"/>
      <c r="O882" s="190"/>
      <c r="P882" s="190"/>
      <c r="Q882" s="190"/>
      <c r="R882" s="190"/>
      <c r="S882" s="190"/>
      <c r="T882" s="190"/>
      <c r="U882" s="190"/>
      <c r="V882" s="190"/>
      <c r="W882" s="190"/>
      <c r="X882" s="190"/>
      <c r="Y882" s="190"/>
      <c r="Z882" s="190"/>
    </row>
    <row r="883">
      <c r="A883" s="208"/>
      <c r="B883" s="190"/>
      <c r="C883" s="190"/>
      <c r="D883" s="190"/>
      <c r="E883" s="190"/>
      <c r="F883" s="209"/>
      <c r="G883" s="190"/>
      <c r="H883" s="190"/>
      <c r="I883" s="190"/>
      <c r="J883" s="190"/>
      <c r="K883" s="190"/>
      <c r="L883" s="190"/>
      <c r="M883" s="190"/>
      <c r="N883" s="190"/>
      <c r="O883" s="190"/>
      <c r="P883" s="190"/>
      <c r="Q883" s="190"/>
      <c r="R883" s="190"/>
      <c r="S883" s="190"/>
      <c r="T883" s="190"/>
      <c r="U883" s="190"/>
      <c r="V883" s="190"/>
      <c r="W883" s="190"/>
      <c r="X883" s="190"/>
      <c r="Y883" s="190"/>
      <c r="Z883" s="190"/>
    </row>
    <row r="884">
      <c r="A884" s="208"/>
      <c r="B884" s="190"/>
      <c r="C884" s="190"/>
      <c r="D884" s="190"/>
      <c r="E884" s="190"/>
      <c r="F884" s="209"/>
      <c r="G884" s="190"/>
      <c r="H884" s="190"/>
      <c r="I884" s="190"/>
      <c r="J884" s="190"/>
      <c r="K884" s="190"/>
      <c r="L884" s="190"/>
      <c r="M884" s="190"/>
      <c r="N884" s="190"/>
      <c r="O884" s="190"/>
      <c r="P884" s="190"/>
      <c r="Q884" s="190"/>
      <c r="R884" s="190"/>
      <c r="S884" s="190"/>
      <c r="T884" s="190"/>
      <c r="U884" s="190"/>
      <c r="V884" s="190"/>
      <c r="W884" s="190"/>
      <c r="X884" s="190"/>
      <c r="Y884" s="190"/>
      <c r="Z884" s="190"/>
    </row>
    <row r="885">
      <c r="A885" s="208"/>
      <c r="B885" s="190"/>
      <c r="C885" s="190"/>
      <c r="D885" s="190"/>
      <c r="E885" s="190"/>
      <c r="F885" s="209"/>
      <c r="G885" s="190"/>
      <c r="H885" s="190"/>
      <c r="I885" s="190"/>
      <c r="J885" s="190"/>
      <c r="K885" s="190"/>
      <c r="L885" s="190"/>
      <c r="M885" s="190"/>
      <c r="N885" s="190"/>
      <c r="O885" s="190"/>
      <c r="P885" s="190"/>
      <c r="Q885" s="190"/>
      <c r="R885" s="190"/>
      <c r="S885" s="190"/>
      <c r="T885" s="190"/>
      <c r="U885" s="190"/>
      <c r="V885" s="190"/>
      <c r="W885" s="190"/>
      <c r="X885" s="190"/>
      <c r="Y885" s="190"/>
      <c r="Z885" s="190"/>
    </row>
    <row r="886">
      <c r="A886" s="208"/>
      <c r="B886" s="190"/>
      <c r="C886" s="190"/>
      <c r="D886" s="190"/>
      <c r="E886" s="190"/>
      <c r="F886" s="209"/>
      <c r="G886" s="190"/>
      <c r="H886" s="190"/>
      <c r="I886" s="190"/>
      <c r="J886" s="190"/>
      <c r="K886" s="190"/>
      <c r="L886" s="190"/>
      <c r="M886" s="190"/>
      <c r="N886" s="190"/>
      <c r="O886" s="190"/>
      <c r="P886" s="190"/>
      <c r="Q886" s="190"/>
      <c r="R886" s="190"/>
      <c r="S886" s="190"/>
      <c r="T886" s="190"/>
      <c r="U886" s="190"/>
      <c r="V886" s="190"/>
      <c r="W886" s="190"/>
      <c r="X886" s="190"/>
      <c r="Y886" s="190"/>
      <c r="Z886" s="190"/>
    </row>
    <row r="887">
      <c r="A887" s="208"/>
      <c r="B887" s="190"/>
      <c r="C887" s="190"/>
      <c r="D887" s="190"/>
      <c r="E887" s="190"/>
      <c r="F887" s="209"/>
      <c r="G887" s="190"/>
      <c r="H887" s="190"/>
      <c r="I887" s="190"/>
      <c r="J887" s="190"/>
      <c r="K887" s="190"/>
      <c r="L887" s="190"/>
      <c r="M887" s="190"/>
      <c r="N887" s="190"/>
      <c r="O887" s="190"/>
      <c r="P887" s="190"/>
      <c r="Q887" s="190"/>
      <c r="R887" s="190"/>
      <c r="S887" s="190"/>
      <c r="T887" s="190"/>
      <c r="U887" s="190"/>
      <c r="V887" s="190"/>
      <c r="W887" s="190"/>
      <c r="X887" s="190"/>
      <c r="Y887" s="190"/>
      <c r="Z887" s="190"/>
    </row>
    <row r="888">
      <c r="A888" s="208"/>
      <c r="B888" s="190"/>
      <c r="C888" s="190"/>
      <c r="D888" s="190"/>
      <c r="E888" s="190"/>
      <c r="F888" s="209"/>
      <c r="G888" s="190"/>
      <c r="H888" s="190"/>
      <c r="I888" s="190"/>
      <c r="J888" s="190"/>
      <c r="K888" s="190"/>
      <c r="L888" s="190"/>
      <c r="M888" s="190"/>
      <c r="N888" s="190"/>
      <c r="O888" s="190"/>
      <c r="P888" s="190"/>
      <c r="Q888" s="190"/>
      <c r="R888" s="190"/>
      <c r="S888" s="190"/>
      <c r="T888" s="190"/>
      <c r="U888" s="190"/>
      <c r="V888" s="190"/>
      <c r="W888" s="190"/>
      <c r="X888" s="190"/>
      <c r="Y888" s="190"/>
      <c r="Z888" s="190"/>
    </row>
    <row r="889">
      <c r="A889" s="208"/>
      <c r="B889" s="190"/>
      <c r="C889" s="190"/>
      <c r="D889" s="190"/>
      <c r="E889" s="190"/>
      <c r="F889" s="209"/>
      <c r="G889" s="190"/>
      <c r="H889" s="190"/>
      <c r="I889" s="190"/>
      <c r="J889" s="190"/>
      <c r="K889" s="190"/>
      <c r="L889" s="190"/>
      <c r="M889" s="190"/>
      <c r="N889" s="190"/>
      <c r="O889" s="190"/>
      <c r="P889" s="190"/>
      <c r="Q889" s="190"/>
      <c r="R889" s="190"/>
      <c r="S889" s="190"/>
      <c r="T889" s="190"/>
      <c r="U889" s="190"/>
      <c r="V889" s="190"/>
      <c r="W889" s="190"/>
      <c r="X889" s="190"/>
      <c r="Y889" s="190"/>
      <c r="Z889" s="190"/>
    </row>
    <row r="890">
      <c r="A890" s="208"/>
      <c r="B890" s="190"/>
      <c r="C890" s="190"/>
      <c r="D890" s="190"/>
      <c r="E890" s="190"/>
      <c r="F890" s="209"/>
      <c r="G890" s="190"/>
      <c r="H890" s="190"/>
      <c r="I890" s="190"/>
      <c r="J890" s="190"/>
      <c r="K890" s="190"/>
      <c r="L890" s="190"/>
      <c r="M890" s="190"/>
      <c r="N890" s="190"/>
      <c r="O890" s="190"/>
      <c r="P890" s="190"/>
      <c r="Q890" s="190"/>
      <c r="R890" s="190"/>
      <c r="S890" s="190"/>
      <c r="T890" s="190"/>
      <c r="U890" s="190"/>
      <c r="V890" s="190"/>
      <c r="W890" s="190"/>
      <c r="X890" s="190"/>
      <c r="Y890" s="190"/>
      <c r="Z890" s="190"/>
    </row>
    <row r="891">
      <c r="A891" s="208"/>
      <c r="B891" s="190"/>
      <c r="C891" s="190"/>
      <c r="D891" s="190"/>
      <c r="E891" s="190"/>
      <c r="F891" s="209"/>
      <c r="G891" s="190"/>
      <c r="H891" s="190"/>
      <c r="I891" s="190"/>
      <c r="J891" s="190"/>
      <c r="K891" s="190"/>
      <c r="L891" s="190"/>
      <c r="M891" s="190"/>
      <c r="N891" s="190"/>
      <c r="O891" s="190"/>
      <c r="P891" s="190"/>
      <c r="Q891" s="190"/>
      <c r="R891" s="190"/>
      <c r="S891" s="190"/>
      <c r="T891" s="190"/>
      <c r="U891" s="190"/>
      <c r="V891" s="190"/>
      <c r="W891" s="190"/>
      <c r="X891" s="190"/>
      <c r="Y891" s="190"/>
      <c r="Z891" s="190"/>
    </row>
    <row r="892">
      <c r="A892" s="208"/>
      <c r="B892" s="190"/>
      <c r="C892" s="190"/>
      <c r="D892" s="190"/>
      <c r="E892" s="190"/>
      <c r="F892" s="209"/>
      <c r="G892" s="190"/>
      <c r="H892" s="190"/>
      <c r="I892" s="190"/>
      <c r="J892" s="190"/>
      <c r="K892" s="190"/>
      <c r="L892" s="190"/>
      <c r="M892" s="190"/>
      <c r="N892" s="190"/>
      <c r="O892" s="190"/>
      <c r="P892" s="190"/>
      <c r="Q892" s="190"/>
      <c r="R892" s="190"/>
      <c r="S892" s="190"/>
      <c r="T892" s="190"/>
      <c r="U892" s="190"/>
      <c r="V892" s="190"/>
      <c r="W892" s="190"/>
      <c r="X892" s="190"/>
      <c r="Y892" s="190"/>
      <c r="Z892" s="190"/>
    </row>
    <row r="893">
      <c r="A893" s="208"/>
      <c r="B893" s="190"/>
      <c r="C893" s="190"/>
      <c r="D893" s="190"/>
      <c r="E893" s="190"/>
      <c r="F893" s="209"/>
      <c r="G893" s="190"/>
      <c r="H893" s="190"/>
      <c r="I893" s="190"/>
      <c r="J893" s="190"/>
      <c r="K893" s="190"/>
      <c r="L893" s="190"/>
      <c r="M893" s="190"/>
      <c r="N893" s="190"/>
      <c r="O893" s="190"/>
      <c r="P893" s="190"/>
      <c r="Q893" s="190"/>
      <c r="R893" s="190"/>
      <c r="S893" s="190"/>
      <c r="T893" s="190"/>
      <c r="U893" s="190"/>
      <c r="V893" s="190"/>
      <c r="W893" s="190"/>
      <c r="X893" s="190"/>
      <c r="Y893" s="190"/>
      <c r="Z893" s="190"/>
    </row>
    <row r="894">
      <c r="A894" s="208"/>
      <c r="B894" s="190"/>
      <c r="C894" s="190"/>
      <c r="D894" s="190"/>
      <c r="E894" s="190"/>
      <c r="F894" s="209"/>
      <c r="G894" s="190"/>
      <c r="H894" s="190"/>
      <c r="I894" s="190"/>
      <c r="J894" s="190"/>
      <c r="K894" s="190"/>
      <c r="L894" s="190"/>
      <c r="M894" s="190"/>
      <c r="N894" s="190"/>
      <c r="O894" s="190"/>
      <c r="P894" s="190"/>
      <c r="Q894" s="190"/>
      <c r="R894" s="190"/>
      <c r="S894" s="190"/>
      <c r="T894" s="190"/>
      <c r="U894" s="190"/>
      <c r="V894" s="190"/>
      <c r="W894" s="190"/>
      <c r="X894" s="190"/>
      <c r="Y894" s="190"/>
      <c r="Z894" s="190"/>
    </row>
    <row r="895">
      <c r="A895" s="208"/>
      <c r="B895" s="190"/>
      <c r="C895" s="190"/>
      <c r="D895" s="190"/>
      <c r="E895" s="190"/>
      <c r="F895" s="209"/>
      <c r="G895" s="190"/>
      <c r="H895" s="190"/>
      <c r="I895" s="190"/>
      <c r="J895" s="190"/>
      <c r="K895" s="190"/>
      <c r="L895" s="190"/>
      <c r="M895" s="190"/>
      <c r="N895" s="190"/>
      <c r="O895" s="190"/>
      <c r="P895" s="190"/>
      <c r="Q895" s="190"/>
      <c r="R895" s="190"/>
      <c r="S895" s="190"/>
      <c r="T895" s="190"/>
      <c r="U895" s="190"/>
      <c r="V895" s="190"/>
      <c r="W895" s="190"/>
      <c r="X895" s="190"/>
      <c r="Y895" s="190"/>
      <c r="Z895" s="190"/>
    </row>
    <row r="896">
      <c r="A896" s="208"/>
      <c r="B896" s="190"/>
      <c r="C896" s="190"/>
      <c r="D896" s="190"/>
      <c r="E896" s="190"/>
      <c r="F896" s="209"/>
      <c r="G896" s="190"/>
      <c r="H896" s="190"/>
      <c r="I896" s="190"/>
      <c r="J896" s="190"/>
      <c r="K896" s="190"/>
      <c r="L896" s="190"/>
      <c r="M896" s="190"/>
      <c r="N896" s="190"/>
      <c r="O896" s="190"/>
      <c r="P896" s="190"/>
      <c r="Q896" s="190"/>
      <c r="R896" s="190"/>
      <c r="S896" s="190"/>
      <c r="T896" s="190"/>
      <c r="U896" s="190"/>
      <c r="V896" s="190"/>
      <c r="W896" s="190"/>
      <c r="X896" s="190"/>
      <c r="Y896" s="190"/>
      <c r="Z896" s="190"/>
    </row>
    <row r="897">
      <c r="A897" s="208"/>
      <c r="B897" s="190"/>
      <c r="C897" s="190"/>
      <c r="D897" s="190"/>
      <c r="E897" s="190"/>
      <c r="F897" s="209"/>
      <c r="G897" s="190"/>
      <c r="H897" s="190"/>
      <c r="I897" s="190"/>
      <c r="J897" s="190"/>
      <c r="K897" s="190"/>
      <c r="L897" s="190"/>
      <c r="M897" s="190"/>
      <c r="N897" s="190"/>
      <c r="O897" s="190"/>
      <c r="P897" s="190"/>
      <c r="Q897" s="190"/>
      <c r="R897" s="190"/>
      <c r="S897" s="190"/>
      <c r="T897" s="190"/>
      <c r="U897" s="190"/>
      <c r="V897" s="190"/>
      <c r="W897" s="190"/>
      <c r="X897" s="190"/>
      <c r="Y897" s="190"/>
      <c r="Z897" s="190"/>
    </row>
    <row r="898">
      <c r="A898" s="208"/>
      <c r="B898" s="190"/>
      <c r="C898" s="190"/>
      <c r="D898" s="190"/>
      <c r="E898" s="190"/>
      <c r="F898" s="209"/>
      <c r="G898" s="190"/>
      <c r="H898" s="190"/>
      <c r="I898" s="190"/>
      <c r="J898" s="190"/>
      <c r="K898" s="190"/>
      <c r="L898" s="190"/>
      <c r="M898" s="190"/>
      <c r="N898" s="190"/>
      <c r="O898" s="190"/>
      <c r="P898" s="190"/>
      <c r="Q898" s="190"/>
      <c r="R898" s="190"/>
      <c r="S898" s="190"/>
      <c r="T898" s="190"/>
      <c r="U898" s="190"/>
      <c r="V898" s="190"/>
      <c r="W898" s="190"/>
      <c r="X898" s="190"/>
      <c r="Y898" s="190"/>
      <c r="Z898" s="190"/>
    </row>
    <row r="899">
      <c r="A899" s="208"/>
      <c r="B899" s="190"/>
      <c r="C899" s="190"/>
      <c r="D899" s="190"/>
      <c r="E899" s="190"/>
      <c r="F899" s="209"/>
      <c r="G899" s="190"/>
      <c r="H899" s="190"/>
      <c r="I899" s="190"/>
      <c r="J899" s="190"/>
      <c r="K899" s="190"/>
      <c r="L899" s="190"/>
      <c r="M899" s="190"/>
      <c r="N899" s="190"/>
      <c r="O899" s="190"/>
      <c r="P899" s="190"/>
      <c r="Q899" s="190"/>
      <c r="R899" s="190"/>
      <c r="S899" s="190"/>
      <c r="T899" s="190"/>
      <c r="U899" s="190"/>
      <c r="V899" s="190"/>
      <c r="W899" s="190"/>
      <c r="X899" s="190"/>
      <c r="Y899" s="190"/>
      <c r="Z899" s="190"/>
    </row>
    <row r="900">
      <c r="A900" s="208"/>
      <c r="B900" s="190"/>
      <c r="C900" s="190"/>
      <c r="D900" s="190"/>
      <c r="E900" s="190"/>
      <c r="F900" s="209"/>
      <c r="G900" s="190"/>
      <c r="H900" s="190"/>
      <c r="I900" s="190"/>
      <c r="J900" s="190"/>
      <c r="K900" s="190"/>
      <c r="L900" s="190"/>
      <c r="M900" s="190"/>
      <c r="N900" s="190"/>
      <c r="O900" s="190"/>
      <c r="P900" s="190"/>
      <c r="Q900" s="190"/>
      <c r="R900" s="190"/>
      <c r="S900" s="190"/>
      <c r="T900" s="190"/>
      <c r="U900" s="190"/>
      <c r="V900" s="190"/>
      <c r="W900" s="190"/>
      <c r="X900" s="190"/>
      <c r="Y900" s="190"/>
      <c r="Z900" s="190"/>
    </row>
    <row r="901">
      <c r="A901" s="208"/>
      <c r="B901" s="190"/>
      <c r="C901" s="190"/>
      <c r="D901" s="190"/>
      <c r="E901" s="190"/>
      <c r="F901" s="209"/>
      <c r="G901" s="190"/>
      <c r="H901" s="190"/>
      <c r="I901" s="190"/>
      <c r="J901" s="190"/>
      <c r="K901" s="190"/>
      <c r="L901" s="190"/>
      <c r="M901" s="190"/>
      <c r="N901" s="190"/>
      <c r="O901" s="190"/>
      <c r="P901" s="190"/>
      <c r="Q901" s="190"/>
      <c r="R901" s="190"/>
      <c r="S901" s="190"/>
      <c r="T901" s="190"/>
      <c r="U901" s="190"/>
      <c r="V901" s="190"/>
      <c r="W901" s="190"/>
      <c r="X901" s="190"/>
      <c r="Y901" s="190"/>
      <c r="Z901" s="190"/>
    </row>
    <row r="902">
      <c r="A902" s="208"/>
      <c r="B902" s="190"/>
      <c r="C902" s="190"/>
      <c r="D902" s="190"/>
      <c r="E902" s="190"/>
      <c r="F902" s="209"/>
      <c r="G902" s="190"/>
      <c r="H902" s="190"/>
      <c r="I902" s="190"/>
      <c r="J902" s="190"/>
      <c r="K902" s="190"/>
      <c r="L902" s="190"/>
      <c r="M902" s="190"/>
      <c r="N902" s="190"/>
      <c r="O902" s="190"/>
      <c r="P902" s="190"/>
      <c r="Q902" s="190"/>
      <c r="R902" s="190"/>
      <c r="S902" s="190"/>
      <c r="T902" s="190"/>
      <c r="U902" s="190"/>
      <c r="V902" s="190"/>
      <c r="W902" s="190"/>
      <c r="X902" s="190"/>
      <c r="Y902" s="190"/>
      <c r="Z902" s="190"/>
    </row>
    <row r="903">
      <c r="A903" s="208"/>
      <c r="B903" s="190"/>
      <c r="C903" s="190"/>
      <c r="D903" s="190"/>
      <c r="E903" s="190"/>
      <c r="F903" s="209"/>
      <c r="G903" s="190"/>
      <c r="H903" s="190"/>
      <c r="I903" s="190"/>
      <c r="J903" s="190"/>
      <c r="K903" s="190"/>
      <c r="L903" s="190"/>
      <c r="M903" s="190"/>
      <c r="N903" s="190"/>
      <c r="O903" s="190"/>
      <c r="P903" s="190"/>
      <c r="Q903" s="190"/>
      <c r="R903" s="190"/>
      <c r="S903" s="190"/>
      <c r="T903" s="190"/>
      <c r="U903" s="190"/>
      <c r="V903" s="190"/>
      <c r="W903" s="190"/>
      <c r="X903" s="190"/>
      <c r="Y903" s="190"/>
      <c r="Z903" s="190"/>
    </row>
    <row r="904">
      <c r="A904" s="208"/>
      <c r="B904" s="190"/>
      <c r="C904" s="190"/>
      <c r="D904" s="190"/>
      <c r="E904" s="190"/>
      <c r="F904" s="209"/>
      <c r="G904" s="190"/>
      <c r="H904" s="190"/>
      <c r="I904" s="190"/>
      <c r="J904" s="190"/>
      <c r="K904" s="190"/>
      <c r="L904" s="190"/>
      <c r="M904" s="190"/>
      <c r="N904" s="190"/>
      <c r="O904" s="190"/>
      <c r="P904" s="190"/>
      <c r="Q904" s="190"/>
      <c r="R904" s="190"/>
      <c r="S904" s="190"/>
      <c r="T904" s="190"/>
      <c r="U904" s="190"/>
      <c r="V904" s="190"/>
      <c r="W904" s="190"/>
      <c r="X904" s="190"/>
      <c r="Y904" s="190"/>
      <c r="Z904" s="190"/>
    </row>
    <row r="905">
      <c r="A905" s="208"/>
      <c r="B905" s="190"/>
      <c r="C905" s="190"/>
      <c r="D905" s="190"/>
      <c r="E905" s="190"/>
      <c r="F905" s="209"/>
      <c r="G905" s="190"/>
      <c r="H905" s="190"/>
      <c r="I905" s="190"/>
      <c r="J905" s="190"/>
      <c r="K905" s="190"/>
      <c r="L905" s="190"/>
      <c r="M905" s="190"/>
      <c r="N905" s="190"/>
      <c r="O905" s="190"/>
      <c r="P905" s="190"/>
      <c r="Q905" s="190"/>
      <c r="R905" s="190"/>
      <c r="S905" s="190"/>
      <c r="T905" s="190"/>
      <c r="U905" s="190"/>
      <c r="V905" s="190"/>
      <c r="W905" s="190"/>
      <c r="X905" s="190"/>
      <c r="Y905" s="190"/>
      <c r="Z905" s="190"/>
    </row>
    <row r="906">
      <c r="A906" s="208"/>
      <c r="B906" s="190"/>
      <c r="C906" s="190"/>
      <c r="D906" s="190"/>
      <c r="E906" s="190"/>
      <c r="F906" s="209"/>
      <c r="G906" s="190"/>
      <c r="H906" s="190"/>
      <c r="I906" s="190"/>
      <c r="J906" s="190"/>
      <c r="K906" s="190"/>
      <c r="L906" s="190"/>
      <c r="M906" s="190"/>
      <c r="N906" s="190"/>
      <c r="O906" s="190"/>
      <c r="P906" s="190"/>
      <c r="Q906" s="190"/>
      <c r="R906" s="190"/>
      <c r="S906" s="190"/>
      <c r="T906" s="190"/>
      <c r="U906" s="190"/>
      <c r="V906" s="190"/>
      <c r="W906" s="190"/>
      <c r="X906" s="190"/>
      <c r="Y906" s="190"/>
      <c r="Z906" s="190"/>
    </row>
    <row r="907">
      <c r="A907" s="208"/>
      <c r="B907" s="190"/>
      <c r="C907" s="190"/>
      <c r="D907" s="190"/>
      <c r="E907" s="190"/>
      <c r="F907" s="209"/>
      <c r="G907" s="190"/>
      <c r="H907" s="190"/>
      <c r="I907" s="190"/>
      <c r="J907" s="190"/>
      <c r="K907" s="190"/>
      <c r="L907" s="190"/>
      <c r="M907" s="190"/>
      <c r="N907" s="190"/>
      <c r="O907" s="190"/>
      <c r="P907" s="190"/>
      <c r="Q907" s="190"/>
      <c r="R907" s="190"/>
      <c r="S907" s="190"/>
      <c r="T907" s="190"/>
      <c r="U907" s="190"/>
      <c r="V907" s="190"/>
      <c r="W907" s="190"/>
      <c r="X907" s="190"/>
      <c r="Y907" s="190"/>
      <c r="Z907" s="190"/>
    </row>
    <row r="908">
      <c r="A908" s="208"/>
      <c r="B908" s="190"/>
      <c r="C908" s="190"/>
      <c r="D908" s="190"/>
      <c r="E908" s="190"/>
      <c r="F908" s="209"/>
      <c r="G908" s="190"/>
      <c r="H908" s="190"/>
      <c r="I908" s="190"/>
      <c r="J908" s="190"/>
      <c r="K908" s="190"/>
      <c r="L908" s="190"/>
      <c r="M908" s="190"/>
      <c r="N908" s="190"/>
      <c r="O908" s="190"/>
      <c r="P908" s="190"/>
      <c r="Q908" s="190"/>
      <c r="R908" s="190"/>
      <c r="S908" s="190"/>
      <c r="T908" s="190"/>
      <c r="U908" s="190"/>
      <c r="V908" s="190"/>
      <c r="W908" s="190"/>
      <c r="X908" s="190"/>
      <c r="Y908" s="190"/>
      <c r="Z908" s="190"/>
    </row>
    <row r="909">
      <c r="A909" s="208"/>
      <c r="B909" s="190"/>
      <c r="C909" s="190"/>
      <c r="D909" s="190"/>
      <c r="E909" s="190"/>
      <c r="F909" s="209"/>
      <c r="G909" s="190"/>
      <c r="H909" s="190"/>
      <c r="I909" s="190"/>
      <c r="J909" s="190"/>
      <c r="K909" s="190"/>
      <c r="L909" s="190"/>
      <c r="M909" s="190"/>
      <c r="N909" s="190"/>
      <c r="O909" s="190"/>
      <c r="P909" s="190"/>
      <c r="Q909" s="190"/>
      <c r="R909" s="190"/>
      <c r="S909" s="190"/>
      <c r="T909" s="190"/>
      <c r="U909" s="190"/>
      <c r="V909" s="190"/>
      <c r="W909" s="190"/>
      <c r="X909" s="190"/>
      <c r="Y909" s="190"/>
      <c r="Z909" s="190"/>
    </row>
    <row r="910">
      <c r="A910" s="208"/>
      <c r="B910" s="190"/>
      <c r="C910" s="190"/>
      <c r="D910" s="190"/>
      <c r="E910" s="190"/>
      <c r="F910" s="209"/>
      <c r="G910" s="190"/>
      <c r="H910" s="190"/>
      <c r="I910" s="190"/>
      <c r="J910" s="190"/>
      <c r="K910" s="190"/>
      <c r="L910" s="190"/>
      <c r="M910" s="190"/>
      <c r="N910" s="190"/>
      <c r="O910" s="190"/>
      <c r="P910" s="190"/>
      <c r="Q910" s="190"/>
      <c r="R910" s="190"/>
      <c r="S910" s="190"/>
      <c r="T910" s="190"/>
      <c r="U910" s="190"/>
      <c r="V910" s="190"/>
      <c r="W910" s="190"/>
      <c r="X910" s="190"/>
      <c r="Y910" s="190"/>
      <c r="Z910" s="190"/>
    </row>
    <row r="911">
      <c r="A911" s="208"/>
      <c r="B911" s="190"/>
      <c r="C911" s="190"/>
      <c r="D911" s="190"/>
      <c r="E911" s="190"/>
      <c r="F911" s="209"/>
      <c r="G911" s="190"/>
      <c r="H911" s="190"/>
      <c r="I911" s="190"/>
      <c r="J911" s="190"/>
      <c r="K911" s="190"/>
      <c r="L911" s="190"/>
      <c r="M911" s="190"/>
      <c r="N911" s="190"/>
      <c r="O911" s="190"/>
      <c r="P911" s="190"/>
      <c r="Q911" s="190"/>
      <c r="R911" s="190"/>
      <c r="S911" s="190"/>
      <c r="T911" s="190"/>
      <c r="U911" s="190"/>
      <c r="V911" s="190"/>
      <c r="W911" s="190"/>
      <c r="X911" s="190"/>
      <c r="Y911" s="190"/>
      <c r="Z911" s="190"/>
    </row>
    <row r="912">
      <c r="A912" s="208"/>
      <c r="B912" s="190"/>
      <c r="C912" s="190"/>
      <c r="D912" s="190"/>
      <c r="E912" s="190"/>
      <c r="F912" s="209"/>
      <c r="G912" s="190"/>
      <c r="H912" s="190"/>
      <c r="I912" s="190"/>
      <c r="J912" s="190"/>
      <c r="K912" s="190"/>
      <c r="L912" s="190"/>
      <c r="M912" s="190"/>
      <c r="N912" s="190"/>
      <c r="O912" s="190"/>
      <c r="P912" s="190"/>
      <c r="Q912" s="190"/>
      <c r="R912" s="190"/>
      <c r="S912" s="190"/>
      <c r="T912" s="190"/>
      <c r="U912" s="190"/>
      <c r="V912" s="190"/>
      <c r="W912" s="190"/>
      <c r="X912" s="190"/>
      <c r="Y912" s="190"/>
      <c r="Z912" s="190"/>
    </row>
    <row r="913">
      <c r="A913" s="208"/>
      <c r="B913" s="190"/>
      <c r="C913" s="190"/>
      <c r="D913" s="190"/>
      <c r="E913" s="190"/>
      <c r="F913" s="209"/>
      <c r="G913" s="190"/>
      <c r="H913" s="190"/>
      <c r="I913" s="190"/>
      <c r="J913" s="190"/>
      <c r="K913" s="190"/>
      <c r="L913" s="190"/>
      <c r="M913" s="190"/>
      <c r="N913" s="190"/>
      <c r="O913" s="190"/>
      <c r="P913" s="190"/>
      <c r="Q913" s="190"/>
      <c r="R913" s="190"/>
      <c r="S913" s="190"/>
      <c r="T913" s="190"/>
      <c r="U913" s="190"/>
      <c r="V913" s="190"/>
      <c r="W913" s="190"/>
      <c r="X913" s="190"/>
      <c r="Y913" s="190"/>
      <c r="Z913" s="190"/>
    </row>
    <row r="914">
      <c r="A914" s="208"/>
      <c r="B914" s="190"/>
      <c r="C914" s="190"/>
      <c r="D914" s="190"/>
      <c r="E914" s="190"/>
      <c r="F914" s="209"/>
      <c r="G914" s="190"/>
      <c r="H914" s="190"/>
      <c r="I914" s="190"/>
      <c r="J914" s="190"/>
      <c r="K914" s="190"/>
      <c r="L914" s="190"/>
      <c r="M914" s="190"/>
      <c r="N914" s="190"/>
      <c r="O914" s="190"/>
      <c r="P914" s="190"/>
      <c r="Q914" s="190"/>
      <c r="R914" s="190"/>
      <c r="S914" s="190"/>
      <c r="T914" s="190"/>
      <c r="U914" s="190"/>
      <c r="V914" s="190"/>
      <c r="W914" s="190"/>
      <c r="X914" s="190"/>
      <c r="Y914" s="190"/>
      <c r="Z914" s="190"/>
    </row>
    <row r="915">
      <c r="A915" s="208"/>
      <c r="B915" s="190"/>
      <c r="C915" s="190"/>
      <c r="D915" s="190"/>
      <c r="E915" s="190"/>
      <c r="F915" s="209"/>
      <c r="G915" s="190"/>
      <c r="H915" s="190"/>
      <c r="I915" s="190"/>
      <c r="J915" s="190"/>
      <c r="K915" s="190"/>
      <c r="L915" s="190"/>
      <c r="M915" s="190"/>
      <c r="N915" s="190"/>
      <c r="O915" s="190"/>
      <c r="P915" s="190"/>
      <c r="Q915" s="190"/>
      <c r="R915" s="190"/>
      <c r="S915" s="190"/>
      <c r="T915" s="190"/>
      <c r="U915" s="190"/>
      <c r="V915" s="190"/>
      <c r="W915" s="190"/>
      <c r="X915" s="190"/>
      <c r="Y915" s="190"/>
      <c r="Z915" s="190"/>
    </row>
    <row r="916">
      <c r="A916" s="208"/>
      <c r="B916" s="190"/>
      <c r="C916" s="190"/>
      <c r="D916" s="190"/>
      <c r="E916" s="190"/>
      <c r="F916" s="209"/>
      <c r="G916" s="190"/>
      <c r="H916" s="190"/>
      <c r="I916" s="190"/>
      <c r="J916" s="190"/>
      <c r="K916" s="190"/>
      <c r="L916" s="190"/>
      <c r="M916" s="190"/>
      <c r="N916" s="190"/>
      <c r="O916" s="190"/>
      <c r="P916" s="190"/>
      <c r="Q916" s="190"/>
      <c r="R916" s="190"/>
      <c r="S916" s="190"/>
      <c r="T916" s="190"/>
      <c r="U916" s="190"/>
      <c r="V916" s="190"/>
      <c r="W916" s="190"/>
      <c r="X916" s="190"/>
      <c r="Y916" s="190"/>
      <c r="Z916" s="190"/>
    </row>
    <row r="917">
      <c r="A917" s="208"/>
      <c r="B917" s="190"/>
      <c r="C917" s="190"/>
      <c r="D917" s="190"/>
      <c r="E917" s="190"/>
      <c r="F917" s="209"/>
      <c r="G917" s="190"/>
      <c r="H917" s="190"/>
      <c r="I917" s="190"/>
      <c r="J917" s="190"/>
      <c r="K917" s="190"/>
      <c r="L917" s="190"/>
      <c r="M917" s="190"/>
      <c r="N917" s="190"/>
      <c r="O917" s="190"/>
      <c r="P917" s="190"/>
      <c r="Q917" s="190"/>
      <c r="R917" s="190"/>
      <c r="S917" s="190"/>
      <c r="T917" s="190"/>
      <c r="U917" s="190"/>
      <c r="V917" s="190"/>
      <c r="W917" s="190"/>
      <c r="X917" s="190"/>
      <c r="Y917" s="190"/>
      <c r="Z917" s="190"/>
    </row>
    <row r="918">
      <c r="A918" s="208"/>
      <c r="B918" s="190"/>
      <c r="C918" s="190"/>
      <c r="D918" s="190"/>
      <c r="E918" s="190"/>
      <c r="F918" s="209"/>
      <c r="G918" s="190"/>
      <c r="H918" s="190"/>
      <c r="I918" s="190"/>
      <c r="J918" s="190"/>
      <c r="K918" s="190"/>
      <c r="L918" s="190"/>
      <c r="M918" s="190"/>
      <c r="N918" s="190"/>
      <c r="O918" s="190"/>
      <c r="P918" s="190"/>
      <c r="Q918" s="190"/>
      <c r="R918" s="190"/>
      <c r="S918" s="190"/>
      <c r="T918" s="190"/>
      <c r="U918" s="190"/>
      <c r="V918" s="190"/>
      <c r="W918" s="190"/>
      <c r="X918" s="190"/>
      <c r="Y918" s="190"/>
      <c r="Z918" s="190"/>
    </row>
    <row r="919">
      <c r="A919" s="208"/>
      <c r="B919" s="190"/>
      <c r="C919" s="190"/>
      <c r="D919" s="190"/>
      <c r="E919" s="190"/>
      <c r="F919" s="209"/>
      <c r="G919" s="190"/>
      <c r="H919" s="190"/>
      <c r="I919" s="190"/>
      <c r="J919" s="190"/>
      <c r="K919" s="190"/>
      <c r="L919" s="190"/>
      <c r="M919" s="190"/>
      <c r="N919" s="190"/>
      <c r="O919" s="190"/>
      <c r="P919" s="190"/>
      <c r="Q919" s="190"/>
      <c r="R919" s="190"/>
      <c r="S919" s="190"/>
      <c r="T919" s="190"/>
      <c r="U919" s="190"/>
      <c r="V919" s="190"/>
      <c r="W919" s="190"/>
      <c r="X919" s="190"/>
      <c r="Y919" s="190"/>
      <c r="Z919" s="190"/>
    </row>
    <row r="920">
      <c r="A920" s="208"/>
      <c r="B920" s="190"/>
      <c r="C920" s="190"/>
      <c r="D920" s="190"/>
      <c r="E920" s="190"/>
      <c r="F920" s="209"/>
      <c r="G920" s="190"/>
      <c r="H920" s="190"/>
      <c r="I920" s="190"/>
      <c r="J920" s="190"/>
      <c r="K920" s="190"/>
      <c r="L920" s="190"/>
      <c r="M920" s="190"/>
      <c r="N920" s="190"/>
      <c r="O920" s="190"/>
      <c r="P920" s="190"/>
      <c r="Q920" s="190"/>
      <c r="R920" s="190"/>
      <c r="S920" s="190"/>
      <c r="T920" s="190"/>
      <c r="U920" s="190"/>
      <c r="V920" s="190"/>
      <c r="W920" s="190"/>
      <c r="X920" s="190"/>
      <c r="Y920" s="190"/>
      <c r="Z920" s="190"/>
    </row>
    <row r="921">
      <c r="A921" s="208"/>
      <c r="B921" s="190"/>
      <c r="C921" s="190"/>
      <c r="D921" s="190"/>
      <c r="E921" s="190"/>
      <c r="F921" s="209"/>
      <c r="G921" s="190"/>
      <c r="H921" s="190"/>
      <c r="I921" s="190"/>
      <c r="J921" s="190"/>
      <c r="K921" s="190"/>
      <c r="L921" s="190"/>
      <c r="M921" s="190"/>
      <c r="N921" s="190"/>
      <c r="O921" s="190"/>
      <c r="P921" s="190"/>
      <c r="Q921" s="190"/>
      <c r="R921" s="190"/>
      <c r="S921" s="190"/>
      <c r="T921" s="190"/>
      <c r="U921" s="190"/>
      <c r="V921" s="190"/>
      <c r="W921" s="190"/>
      <c r="X921" s="190"/>
      <c r="Y921" s="190"/>
      <c r="Z921" s="190"/>
    </row>
    <row r="922">
      <c r="A922" s="208"/>
      <c r="B922" s="190"/>
      <c r="C922" s="190"/>
      <c r="D922" s="190"/>
      <c r="E922" s="190"/>
      <c r="F922" s="209"/>
      <c r="G922" s="190"/>
      <c r="H922" s="190"/>
      <c r="I922" s="190"/>
      <c r="J922" s="190"/>
      <c r="K922" s="190"/>
      <c r="L922" s="190"/>
      <c r="M922" s="190"/>
      <c r="N922" s="190"/>
      <c r="O922" s="190"/>
      <c r="P922" s="190"/>
      <c r="Q922" s="190"/>
      <c r="R922" s="190"/>
      <c r="S922" s="190"/>
      <c r="T922" s="190"/>
      <c r="U922" s="190"/>
      <c r="V922" s="190"/>
      <c r="W922" s="190"/>
      <c r="X922" s="190"/>
      <c r="Y922" s="190"/>
      <c r="Z922" s="190"/>
    </row>
    <row r="923">
      <c r="A923" s="208"/>
      <c r="B923" s="190"/>
      <c r="C923" s="190"/>
      <c r="D923" s="190"/>
      <c r="E923" s="190"/>
      <c r="F923" s="209"/>
      <c r="G923" s="190"/>
      <c r="H923" s="190"/>
      <c r="I923" s="190"/>
      <c r="J923" s="190"/>
      <c r="K923" s="190"/>
      <c r="L923" s="190"/>
      <c r="M923" s="190"/>
      <c r="N923" s="190"/>
      <c r="O923" s="190"/>
      <c r="P923" s="190"/>
      <c r="Q923" s="190"/>
      <c r="R923" s="190"/>
      <c r="S923" s="190"/>
      <c r="T923" s="190"/>
      <c r="U923" s="190"/>
      <c r="V923" s="190"/>
      <c r="W923" s="190"/>
      <c r="X923" s="190"/>
      <c r="Y923" s="190"/>
      <c r="Z923" s="190"/>
    </row>
    <row r="924">
      <c r="A924" s="208"/>
      <c r="B924" s="190"/>
      <c r="C924" s="190"/>
      <c r="D924" s="190"/>
      <c r="E924" s="190"/>
      <c r="F924" s="209"/>
      <c r="G924" s="190"/>
      <c r="H924" s="190"/>
      <c r="I924" s="190"/>
      <c r="J924" s="190"/>
      <c r="K924" s="190"/>
      <c r="L924" s="190"/>
      <c r="M924" s="190"/>
      <c r="N924" s="190"/>
      <c r="O924" s="190"/>
      <c r="P924" s="190"/>
      <c r="Q924" s="190"/>
      <c r="R924" s="190"/>
      <c r="S924" s="190"/>
      <c r="T924" s="190"/>
      <c r="U924" s="190"/>
      <c r="V924" s="190"/>
      <c r="W924" s="190"/>
      <c r="X924" s="190"/>
      <c r="Y924" s="190"/>
      <c r="Z924" s="190"/>
    </row>
    <row r="925">
      <c r="A925" s="208"/>
      <c r="B925" s="190"/>
      <c r="C925" s="190"/>
      <c r="D925" s="190"/>
      <c r="E925" s="190"/>
      <c r="F925" s="209"/>
      <c r="G925" s="190"/>
      <c r="H925" s="190"/>
      <c r="I925" s="190"/>
      <c r="J925" s="190"/>
      <c r="K925" s="190"/>
      <c r="L925" s="190"/>
      <c r="M925" s="190"/>
      <c r="N925" s="190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</row>
    <row r="926">
      <c r="A926" s="208"/>
      <c r="B926" s="190"/>
      <c r="C926" s="190"/>
      <c r="D926" s="190"/>
      <c r="E926" s="190"/>
      <c r="F926" s="209"/>
      <c r="G926" s="190"/>
      <c r="H926" s="190"/>
      <c r="I926" s="190"/>
      <c r="J926" s="190"/>
      <c r="K926" s="190"/>
      <c r="L926" s="190"/>
      <c r="M926" s="190"/>
      <c r="N926" s="190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</row>
    <row r="927">
      <c r="A927" s="208"/>
      <c r="B927" s="190"/>
      <c r="C927" s="190"/>
      <c r="D927" s="190"/>
      <c r="E927" s="190"/>
      <c r="F927" s="209"/>
      <c r="G927" s="190"/>
      <c r="H927" s="190"/>
      <c r="I927" s="190"/>
      <c r="J927" s="190"/>
      <c r="K927" s="190"/>
      <c r="L927" s="190"/>
      <c r="M927" s="190"/>
      <c r="N927" s="190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</row>
    <row r="928">
      <c r="A928" s="208"/>
      <c r="B928" s="190"/>
      <c r="C928" s="190"/>
      <c r="D928" s="190"/>
      <c r="E928" s="190"/>
      <c r="F928" s="209"/>
      <c r="G928" s="190"/>
      <c r="H928" s="190"/>
      <c r="I928" s="190"/>
      <c r="J928" s="190"/>
      <c r="K928" s="190"/>
      <c r="L928" s="190"/>
      <c r="M928" s="190"/>
      <c r="N928" s="190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</row>
    <row r="929">
      <c r="A929" s="208"/>
      <c r="B929" s="190"/>
      <c r="C929" s="190"/>
      <c r="D929" s="190"/>
      <c r="E929" s="190"/>
      <c r="F929" s="209"/>
      <c r="G929" s="190"/>
      <c r="H929" s="190"/>
      <c r="I929" s="190"/>
      <c r="J929" s="190"/>
      <c r="K929" s="190"/>
      <c r="L929" s="190"/>
      <c r="M929" s="190"/>
      <c r="N929" s="190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</row>
    <row r="930">
      <c r="A930" s="208"/>
      <c r="B930" s="190"/>
      <c r="C930" s="190"/>
      <c r="D930" s="190"/>
      <c r="E930" s="190"/>
      <c r="F930" s="209"/>
      <c r="G930" s="190"/>
      <c r="H930" s="190"/>
      <c r="I930" s="190"/>
      <c r="J930" s="190"/>
      <c r="K930" s="190"/>
      <c r="L930" s="190"/>
      <c r="M930" s="190"/>
      <c r="N930" s="190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</row>
    <row r="931">
      <c r="A931" s="208"/>
      <c r="B931" s="190"/>
      <c r="C931" s="190"/>
      <c r="D931" s="190"/>
      <c r="E931" s="190"/>
      <c r="F931" s="209"/>
      <c r="G931" s="190"/>
      <c r="H931" s="190"/>
      <c r="I931" s="190"/>
      <c r="J931" s="190"/>
      <c r="K931" s="190"/>
      <c r="L931" s="190"/>
      <c r="M931" s="190"/>
      <c r="N931" s="190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</row>
    <row r="932">
      <c r="A932" s="208"/>
      <c r="B932" s="190"/>
      <c r="C932" s="190"/>
      <c r="D932" s="190"/>
      <c r="E932" s="190"/>
      <c r="F932" s="209"/>
      <c r="G932" s="190"/>
      <c r="H932" s="190"/>
      <c r="I932" s="190"/>
      <c r="J932" s="190"/>
      <c r="K932" s="190"/>
      <c r="L932" s="190"/>
      <c r="M932" s="190"/>
      <c r="N932" s="190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0"/>
      <c r="Z932" s="190"/>
    </row>
    <row r="933">
      <c r="A933" s="208"/>
      <c r="B933" s="190"/>
      <c r="C933" s="190"/>
      <c r="D933" s="190"/>
      <c r="E933" s="190"/>
      <c r="F933" s="209"/>
      <c r="G933" s="190"/>
      <c r="H933" s="190"/>
      <c r="I933" s="190"/>
      <c r="J933" s="190"/>
      <c r="K933" s="190"/>
      <c r="L933" s="190"/>
      <c r="M933" s="190"/>
      <c r="N933" s="190"/>
      <c r="O933" s="190"/>
      <c r="P933" s="190"/>
      <c r="Q933" s="190"/>
      <c r="R933" s="190"/>
      <c r="S933" s="190"/>
      <c r="T933" s="190"/>
      <c r="U933" s="190"/>
      <c r="V933" s="190"/>
      <c r="W933" s="190"/>
      <c r="X933" s="190"/>
      <c r="Y933" s="190"/>
      <c r="Z933" s="190"/>
    </row>
    <row r="934">
      <c r="A934" s="208"/>
      <c r="B934" s="190"/>
      <c r="C934" s="190"/>
      <c r="D934" s="190"/>
      <c r="E934" s="190"/>
      <c r="F934" s="209"/>
      <c r="G934" s="190"/>
      <c r="H934" s="190"/>
      <c r="I934" s="190"/>
      <c r="J934" s="190"/>
      <c r="K934" s="190"/>
      <c r="L934" s="190"/>
      <c r="M934" s="190"/>
      <c r="N934" s="190"/>
      <c r="O934" s="190"/>
      <c r="P934" s="190"/>
      <c r="Q934" s="190"/>
      <c r="R934" s="190"/>
      <c r="S934" s="190"/>
      <c r="T934" s="190"/>
      <c r="U934" s="190"/>
      <c r="V934" s="190"/>
      <c r="W934" s="190"/>
      <c r="X934" s="190"/>
      <c r="Y934" s="190"/>
      <c r="Z934" s="190"/>
    </row>
    <row r="935">
      <c r="A935" s="208"/>
      <c r="B935" s="190"/>
      <c r="C935" s="190"/>
      <c r="D935" s="190"/>
      <c r="E935" s="190"/>
      <c r="F935" s="209"/>
      <c r="G935" s="190"/>
      <c r="H935" s="190"/>
      <c r="I935" s="190"/>
      <c r="J935" s="190"/>
      <c r="K935" s="190"/>
      <c r="L935" s="190"/>
      <c r="M935" s="190"/>
      <c r="N935" s="190"/>
      <c r="O935" s="190"/>
      <c r="P935" s="190"/>
      <c r="Q935" s="190"/>
      <c r="R935" s="190"/>
      <c r="S935" s="190"/>
      <c r="T935" s="190"/>
      <c r="U935" s="190"/>
      <c r="V935" s="190"/>
      <c r="W935" s="190"/>
      <c r="X935" s="190"/>
      <c r="Y935" s="190"/>
      <c r="Z935" s="190"/>
    </row>
    <row r="936">
      <c r="A936" s="208"/>
      <c r="B936" s="190"/>
      <c r="C936" s="190"/>
      <c r="D936" s="190"/>
      <c r="E936" s="190"/>
      <c r="F936" s="209"/>
      <c r="G936" s="190"/>
      <c r="H936" s="190"/>
      <c r="I936" s="190"/>
      <c r="J936" s="190"/>
      <c r="K936" s="190"/>
      <c r="L936" s="190"/>
      <c r="M936" s="190"/>
      <c r="N936" s="190"/>
      <c r="O936" s="190"/>
      <c r="P936" s="190"/>
      <c r="Q936" s="190"/>
      <c r="R936" s="190"/>
      <c r="S936" s="190"/>
      <c r="T936" s="190"/>
      <c r="U936" s="190"/>
      <c r="V936" s="190"/>
      <c r="W936" s="190"/>
      <c r="X936" s="190"/>
      <c r="Y936" s="190"/>
      <c r="Z936" s="190"/>
    </row>
    <row r="937">
      <c r="A937" s="208"/>
      <c r="B937" s="190"/>
      <c r="C937" s="190"/>
      <c r="D937" s="190"/>
      <c r="E937" s="190"/>
      <c r="F937" s="209"/>
      <c r="G937" s="190"/>
      <c r="H937" s="190"/>
      <c r="I937" s="190"/>
      <c r="J937" s="190"/>
      <c r="K937" s="190"/>
      <c r="L937" s="190"/>
      <c r="M937" s="190"/>
      <c r="N937" s="190"/>
      <c r="O937" s="190"/>
      <c r="P937" s="190"/>
      <c r="Q937" s="190"/>
      <c r="R937" s="190"/>
      <c r="S937" s="190"/>
      <c r="T937" s="190"/>
      <c r="U937" s="190"/>
      <c r="V937" s="190"/>
      <c r="W937" s="190"/>
      <c r="X937" s="190"/>
      <c r="Y937" s="190"/>
      <c r="Z937" s="190"/>
    </row>
    <row r="938">
      <c r="A938" s="208"/>
      <c r="B938" s="190"/>
      <c r="C938" s="190"/>
      <c r="D938" s="190"/>
      <c r="E938" s="190"/>
      <c r="F938" s="209"/>
      <c r="G938" s="190"/>
      <c r="H938" s="190"/>
      <c r="I938" s="190"/>
      <c r="J938" s="190"/>
      <c r="K938" s="190"/>
      <c r="L938" s="190"/>
      <c r="M938" s="190"/>
      <c r="N938" s="190"/>
      <c r="O938" s="190"/>
      <c r="P938" s="190"/>
      <c r="Q938" s="190"/>
      <c r="R938" s="190"/>
      <c r="S938" s="190"/>
      <c r="T938" s="190"/>
      <c r="U938" s="190"/>
      <c r="V938" s="190"/>
      <c r="W938" s="190"/>
      <c r="X938" s="190"/>
      <c r="Y938" s="190"/>
      <c r="Z938" s="190"/>
    </row>
    <row r="939">
      <c r="A939" s="208"/>
      <c r="B939" s="190"/>
      <c r="C939" s="190"/>
      <c r="D939" s="190"/>
      <c r="E939" s="190"/>
      <c r="F939" s="209"/>
      <c r="G939" s="190"/>
      <c r="H939" s="190"/>
      <c r="I939" s="190"/>
      <c r="J939" s="190"/>
      <c r="K939" s="190"/>
      <c r="L939" s="190"/>
      <c r="M939" s="190"/>
      <c r="N939" s="190"/>
      <c r="O939" s="190"/>
      <c r="P939" s="190"/>
      <c r="Q939" s="190"/>
      <c r="R939" s="190"/>
      <c r="S939" s="190"/>
      <c r="T939" s="190"/>
      <c r="U939" s="190"/>
      <c r="V939" s="190"/>
      <c r="W939" s="190"/>
      <c r="X939" s="190"/>
      <c r="Y939" s="190"/>
      <c r="Z939" s="190"/>
    </row>
    <row r="940">
      <c r="A940" s="208"/>
      <c r="B940" s="190"/>
      <c r="C940" s="190"/>
      <c r="D940" s="190"/>
      <c r="E940" s="190"/>
      <c r="F940" s="209"/>
      <c r="G940" s="190"/>
      <c r="H940" s="190"/>
      <c r="I940" s="190"/>
      <c r="J940" s="190"/>
      <c r="K940" s="190"/>
      <c r="L940" s="190"/>
      <c r="M940" s="190"/>
      <c r="N940" s="190"/>
      <c r="O940" s="190"/>
      <c r="P940" s="190"/>
      <c r="Q940" s="190"/>
      <c r="R940" s="190"/>
      <c r="S940" s="190"/>
      <c r="T940" s="190"/>
      <c r="U940" s="190"/>
      <c r="V940" s="190"/>
      <c r="W940" s="190"/>
      <c r="X940" s="190"/>
      <c r="Y940" s="190"/>
      <c r="Z940" s="190"/>
    </row>
    <row r="941">
      <c r="A941" s="208"/>
      <c r="B941" s="190"/>
      <c r="C941" s="190"/>
      <c r="D941" s="190"/>
      <c r="E941" s="190"/>
      <c r="F941" s="209"/>
      <c r="G941" s="190"/>
      <c r="H941" s="190"/>
      <c r="I941" s="190"/>
      <c r="J941" s="190"/>
      <c r="K941" s="190"/>
      <c r="L941" s="190"/>
      <c r="M941" s="190"/>
      <c r="N941" s="190"/>
      <c r="O941" s="190"/>
      <c r="P941" s="190"/>
      <c r="Q941" s="190"/>
      <c r="R941" s="190"/>
      <c r="S941" s="190"/>
      <c r="T941" s="190"/>
      <c r="U941" s="190"/>
      <c r="V941" s="190"/>
      <c r="W941" s="190"/>
      <c r="X941" s="190"/>
      <c r="Y941" s="190"/>
      <c r="Z941" s="190"/>
    </row>
    <row r="942">
      <c r="A942" s="208"/>
      <c r="B942" s="190"/>
      <c r="C942" s="190"/>
      <c r="D942" s="190"/>
      <c r="E942" s="190"/>
      <c r="F942" s="209"/>
      <c r="G942" s="190"/>
      <c r="H942" s="190"/>
      <c r="I942" s="190"/>
      <c r="J942" s="190"/>
      <c r="K942" s="190"/>
      <c r="L942" s="190"/>
      <c r="M942" s="190"/>
      <c r="N942" s="190"/>
      <c r="O942" s="190"/>
      <c r="P942" s="190"/>
      <c r="Q942" s="190"/>
      <c r="R942" s="190"/>
      <c r="S942" s="190"/>
      <c r="T942" s="190"/>
      <c r="U942" s="190"/>
      <c r="V942" s="190"/>
      <c r="W942" s="190"/>
      <c r="X942" s="190"/>
      <c r="Y942" s="190"/>
      <c r="Z942" s="190"/>
    </row>
    <row r="943">
      <c r="A943" s="208"/>
      <c r="B943" s="190"/>
      <c r="C943" s="190"/>
      <c r="D943" s="190"/>
      <c r="E943" s="190"/>
      <c r="F943" s="209"/>
      <c r="G943" s="190"/>
      <c r="H943" s="190"/>
      <c r="I943" s="190"/>
      <c r="J943" s="190"/>
      <c r="K943" s="190"/>
      <c r="L943" s="190"/>
      <c r="M943" s="190"/>
      <c r="N943" s="190"/>
      <c r="O943" s="190"/>
      <c r="P943" s="190"/>
      <c r="Q943" s="190"/>
      <c r="R943" s="190"/>
      <c r="S943" s="190"/>
      <c r="T943" s="190"/>
      <c r="U943" s="190"/>
      <c r="V943" s="190"/>
      <c r="W943" s="190"/>
      <c r="X943" s="190"/>
      <c r="Y943" s="190"/>
      <c r="Z943" s="190"/>
    </row>
    <row r="944">
      <c r="A944" s="208"/>
      <c r="B944" s="190"/>
      <c r="C944" s="190"/>
      <c r="D944" s="190"/>
      <c r="E944" s="190"/>
      <c r="F944" s="209"/>
      <c r="G944" s="190"/>
      <c r="H944" s="190"/>
      <c r="I944" s="190"/>
      <c r="J944" s="190"/>
      <c r="K944" s="190"/>
      <c r="L944" s="190"/>
      <c r="M944" s="190"/>
      <c r="N944" s="190"/>
      <c r="O944" s="190"/>
      <c r="P944" s="190"/>
      <c r="Q944" s="190"/>
      <c r="R944" s="190"/>
      <c r="S944" s="190"/>
      <c r="T944" s="190"/>
      <c r="U944" s="190"/>
      <c r="V944" s="190"/>
      <c r="W944" s="190"/>
      <c r="X944" s="190"/>
      <c r="Y944" s="190"/>
      <c r="Z944" s="190"/>
    </row>
    <row r="945">
      <c r="A945" s="208"/>
      <c r="B945" s="190"/>
      <c r="C945" s="190"/>
      <c r="D945" s="190"/>
      <c r="E945" s="190"/>
      <c r="F945" s="209"/>
      <c r="G945" s="190"/>
      <c r="H945" s="190"/>
      <c r="I945" s="190"/>
      <c r="J945" s="190"/>
      <c r="K945" s="190"/>
      <c r="L945" s="190"/>
      <c r="M945" s="190"/>
      <c r="N945" s="190"/>
      <c r="O945" s="190"/>
      <c r="P945" s="190"/>
      <c r="Q945" s="190"/>
      <c r="R945" s="190"/>
      <c r="S945" s="190"/>
      <c r="T945" s="190"/>
      <c r="U945" s="190"/>
      <c r="V945" s="190"/>
      <c r="W945" s="190"/>
      <c r="X945" s="190"/>
      <c r="Y945" s="190"/>
      <c r="Z945" s="190"/>
    </row>
    <row r="946">
      <c r="A946" s="208"/>
      <c r="B946" s="190"/>
      <c r="C946" s="190"/>
      <c r="D946" s="190"/>
      <c r="E946" s="190"/>
      <c r="F946" s="209"/>
      <c r="G946" s="190"/>
      <c r="H946" s="190"/>
      <c r="I946" s="190"/>
      <c r="J946" s="190"/>
      <c r="K946" s="190"/>
      <c r="L946" s="190"/>
      <c r="M946" s="190"/>
      <c r="N946" s="190"/>
      <c r="O946" s="190"/>
      <c r="P946" s="190"/>
      <c r="Q946" s="190"/>
      <c r="R946" s="190"/>
      <c r="S946" s="190"/>
      <c r="T946" s="190"/>
      <c r="U946" s="190"/>
      <c r="V946" s="190"/>
      <c r="W946" s="190"/>
      <c r="X946" s="190"/>
      <c r="Y946" s="190"/>
      <c r="Z946" s="190"/>
    </row>
    <row r="947">
      <c r="A947" s="208"/>
      <c r="B947" s="190"/>
      <c r="C947" s="190"/>
      <c r="D947" s="190"/>
      <c r="E947" s="190"/>
      <c r="F947" s="209"/>
      <c r="G947" s="190"/>
      <c r="H947" s="190"/>
      <c r="I947" s="190"/>
      <c r="J947" s="190"/>
      <c r="K947" s="190"/>
      <c r="L947" s="190"/>
      <c r="M947" s="190"/>
      <c r="N947" s="190"/>
      <c r="O947" s="190"/>
      <c r="P947" s="190"/>
      <c r="Q947" s="190"/>
      <c r="R947" s="190"/>
      <c r="S947" s="190"/>
      <c r="T947" s="190"/>
      <c r="U947" s="190"/>
      <c r="V947" s="190"/>
      <c r="W947" s="190"/>
      <c r="X947" s="190"/>
      <c r="Y947" s="190"/>
      <c r="Z947" s="190"/>
    </row>
    <row r="948">
      <c r="A948" s="208"/>
      <c r="B948" s="190"/>
      <c r="C948" s="190"/>
      <c r="D948" s="190"/>
      <c r="E948" s="190"/>
      <c r="F948" s="209"/>
      <c r="G948" s="190"/>
      <c r="H948" s="190"/>
      <c r="I948" s="190"/>
      <c r="J948" s="190"/>
      <c r="K948" s="190"/>
      <c r="L948" s="190"/>
      <c r="M948" s="190"/>
      <c r="N948" s="190"/>
      <c r="O948" s="190"/>
      <c r="P948" s="190"/>
      <c r="Q948" s="190"/>
      <c r="R948" s="190"/>
      <c r="S948" s="190"/>
      <c r="T948" s="190"/>
      <c r="U948" s="190"/>
      <c r="V948" s="190"/>
      <c r="W948" s="190"/>
      <c r="X948" s="190"/>
      <c r="Y948" s="190"/>
      <c r="Z948" s="190"/>
    </row>
    <row r="949">
      <c r="A949" s="208"/>
      <c r="B949" s="190"/>
      <c r="C949" s="190"/>
      <c r="D949" s="190"/>
      <c r="E949" s="190"/>
      <c r="F949" s="209"/>
      <c r="G949" s="190"/>
      <c r="H949" s="190"/>
      <c r="I949" s="190"/>
      <c r="J949" s="190"/>
      <c r="K949" s="190"/>
      <c r="L949" s="190"/>
      <c r="M949" s="190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0"/>
      <c r="Z949" s="190"/>
    </row>
    <row r="950">
      <c r="A950" s="208"/>
      <c r="B950" s="190"/>
      <c r="C950" s="190"/>
      <c r="D950" s="190"/>
      <c r="E950" s="190"/>
      <c r="F950" s="209"/>
      <c r="G950" s="190"/>
      <c r="H950" s="190"/>
      <c r="I950" s="190"/>
      <c r="J950" s="190"/>
      <c r="K950" s="190"/>
      <c r="L950" s="190"/>
      <c r="M950" s="190"/>
      <c r="N950" s="190"/>
      <c r="O950" s="190"/>
      <c r="P950" s="190"/>
      <c r="Q950" s="190"/>
      <c r="R950" s="190"/>
      <c r="S950" s="190"/>
      <c r="T950" s="190"/>
      <c r="U950" s="190"/>
      <c r="V950" s="190"/>
      <c r="W950" s="190"/>
      <c r="X950" s="190"/>
      <c r="Y950" s="190"/>
      <c r="Z950" s="190"/>
    </row>
    <row r="951">
      <c r="A951" s="208"/>
      <c r="B951" s="190"/>
      <c r="C951" s="190"/>
      <c r="D951" s="190"/>
      <c r="E951" s="190"/>
      <c r="F951" s="209"/>
      <c r="G951" s="190"/>
      <c r="H951" s="190"/>
      <c r="I951" s="190"/>
      <c r="J951" s="190"/>
      <c r="K951" s="190"/>
      <c r="L951" s="190"/>
      <c r="M951" s="190"/>
      <c r="N951" s="190"/>
      <c r="O951" s="190"/>
      <c r="P951" s="190"/>
      <c r="Q951" s="190"/>
      <c r="R951" s="190"/>
      <c r="S951" s="190"/>
      <c r="T951" s="190"/>
      <c r="U951" s="190"/>
      <c r="V951" s="190"/>
      <c r="W951" s="190"/>
      <c r="X951" s="190"/>
      <c r="Y951" s="190"/>
      <c r="Z951" s="190"/>
    </row>
    <row r="952">
      <c r="A952" s="208"/>
      <c r="B952" s="190"/>
      <c r="C952" s="190"/>
      <c r="D952" s="190"/>
      <c r="E952" s="190"/>
      <c r="F952" s="209"/>
      <c r="G952" s="190"/>
      <c r="H952" s="190"/>
      <c r="I952" s="190"/>
      <c r="J952" s="190"/>
      <c r="K952" s="190"/>
      <c r="L952" s="190"/>
      <c r="M952" s="190"/>
      <c r="N952" s="190"/>
      <c r="O952" s="190"/>
      <c r="P952" s="190"/>
      <c r="Q952" s="190"/>
      <c r="R952" s="190"/>
      <c r="S952" s="190"/>
      <c r="T952" s="190"/>
      <c r="U952" s="190"/>
      <c r="V952" s="190"/>
      <c r="W952" s="190"/>
      <c r="X952" s="190"/>
      <c r="Y952" s="190"/>
      <c r="Z952" s="190"/>
    </row>
    <row r="953">
      <c r="A953" s="208"/>
      <c r="B953" s="190"/>
      <c r="C953" s="190"/>
      <c r="D953" s="190"/>
      <c r="E953" s="190"/>
      <c r="F953" s="209"/>
      <c r="G953" s="190"/>
      <c r="H953" s="190"/>
      <c r="I953" s="190"/>
      <c r="J953" s="190"/>
      <c r="K953" s="190"/>
      <c r="L953" s="190"/>
      <c r="M953" s="190"/>
      <c r="N953" s="190"/>
      <c r="O953" s="190"/>
      <c r="P953" s="190"/>
      <c r="Q953" s="190"/>
      <c r="R953" s="190"/>
      <c r="S953" s="190"/>
      <c r="T953" s="190"/>
      <c r="U953" s="190"/>
      <c r="V953" s="190"/>
      <c r="W953" s="190"/>
      <c r="X953" s="190"/>
      <c r="Y953" s="190"/>
      <c r="Z953" s="190"/>
    </row>
    <row r="954">
      <c r="A954" s="208"/>
      <c r="B954" s="190"/>
      <c r="C954" s="190"/>
      <c r="D954" s="190"/>
      <c r="E954" s="190"/>
      <c r="F954" s="209"/>
      <c r="G954" s="190"/>
      <c r="H954" s="190"/>
      <c r="I954" s="190"/>
      <c r="J954" s="190"/>
      <c r="K954" s="190"/>
      <c r="L954" s="190"/>
      <c r="M954" s="190"/>
      <c r="N954" s="190"/>
      <c r="O954" s="190"/>
      <c r="P954" s="190"/>
      <c r="Q954" s="190"/>
      <c r="R954" s="190"/>
      <c r="S954" s="190"/>
      <c r="T954" s="190"/>
      <c r="U954" s="190"/>
      <c r="V954" s="190"/>
      <c r="W954" s="190"/>
      <c r="X954" s="190"/>
      <c r="Y954" s="190"/>
      <c r="Z954" s="190"/>
    </row>
    <row r="955">
      <c r="A955" s="208"/>
      <c r="B955" s="190"/>
      <c r="C955" s="190"/>
      <c r="D955" s="190"/>
      <c r="E955" s="190"/>
      <c r="F955" s="209"/>
      <c r="G955" s="190"/>
      <c r="H955" s="190"/>
      <c r="I955" s="190"/>
      <c r="J955" s="190"/>
      <c r="K955" s="190"/>
      <c r="L955" s="190"/>
      <c r="M955" s="190"/>
      <c r="N955" s="190"/>
      <c r="O955" s="190"/>
      <c r="P955" s="190"/>
      <c r="Q955" s="190"/>
      <c r="R955" s="190"/>
      <c r="S955" s="190"/>
      <c r="T955" s="190"/>
      <c r="U955" s="190"/>
      <c r="V955" s="190"/>
      <c r="W955" s="190"/>
      <c r="X955" s="190"/>
      <c r="Y955" s="190"/>
      <c r="Z955" s="190"/>
    </row>
    <row r="956">
      <c r="A956" s="208"/>
      <c r="B956" s="190"/>
      <c r="C956" s="190"/>
      <c r="D956" s="190"/>
      <c r="E956" s="190"/>
      <c r="F956" s="209"/>
      <c r="G956" s="190"/>
      <c r="H956" s="190"/>
      <c r="I956" s="190"/>
      <c r="J956" s="190"/>
      <c r="K956" s="190"/>
      <c r="L956" s="190"/>
      <c r="M956" s="190"/>
      <c r="N956" s="190"/>
      <c r="O956" s="190"/>
      <c r="P956" s="190"/>
      <c r="Q956" s="190"/>
      <c r="R956" s="190"/>
      <c r="S956" s="190"/>
      <c r="T956" s="190"/>
      <c r="U956" s="190"/>
      <c r="V956" s="190"/>
      <c r="W956" s="190"/>
      <c r="X956" s="190"/>
      <c r="Y956" s="190"/>
      <c r="Z956" s="190"/>
    </row>
    <row r="957">
      <c r="A957" s="208"/>
      <c r="B957" s="190"/>
      <c r="C957" s="190"/>
      <c r="D957" s="190"/>
      <c r="E957" s="190"/>
      <c r="F957" s="209"/>
      <c r="G957" s="190"/>
      <c r="H957" s="190"/>
      <c r="I957" s="190"/>
      <c r="J957" s="190"/>
      <c r="K957" s="190"/>
      <c r="L957" s="190"/>
      <c r="M957" s="190"/>
      <c r="N957" s="190"/>
      <c r="O957" s="190"/>
      <c r="P957" s="190"/>
      <c r="Q957" s="190"/>
      <c r="R957" s="190"/>
      <c r="S957" s="190"/>
      <c r="T957" s="190"/>
      <c r="U957" s="190"/>
      <c r="V957" s="190"/>
      <c r="W957" s="190"/>
      <c r="X957" s="190"/>
      <c r="Y957" s="190"/>
      <c r="Z957" s="190"/>
    </row>
    <row r="958">
      <c r="A958" s="208"/>
      <c r="B958" s="190"/>
      <c r="C958" s="190"/>
      <c r="D958" s="190"/>
      <c r="E958" s="190"/>
      <c r="F958" s="209"/>
      <c r="G958" s="190"/>
      <c r="H958" s="190"/>
      <c r="I958" s="190"/>
      <c r="J958" s="190"/>
      <c r="K958" s="190"/>
      <c r="L958" s="190"/>
      <c r="M958" s="190"/>
      <c r="N958" s="190"/>
      <c r="O958" s="190"/>
      <c r="P958" s="190"/>
      <c r="Q958" s="190"/>
      <c r="R958" s="190"/>
      <c r="S958" s="190"/>
      <c r="T958" s="190"/>
      <c r="U958" s="190"/>
      <c r="V958" s="190"/>
      <c r="W958" s="190"/>
      <c r="X958" s="190"/>
      <c r="Y958" s="190"/>
      <c r="Z958" s="190"/>
    </row>
    <row r="959">
      <c r="A959" s="208"/>
      <c r="B959" s="190"/>
      <c r="C959" s="190"/>
      <c r="D959" s="190"/>
      <c r="E959" s="190"/>
      <c r="F959" s="209"/>
      <c r="G959" s="190"/>
      <c r="H959" s="190"/>
      <c r="I959" s="190"/>
      <c r="J959" s="190"/>
      <c r="K959" s="190"/>
      <c r="L959" s="190"/>
      <c r="M959" s="190"/>
      <c r="N959" s="190"/>
      <c r="O959" s="190"/>
      <c r="P959" s="190"/>
      <c r="Q959" s="190"/>
      <c r="R959" s="190"/>
      <c r="S959" s="190"/>
      <c r="T959" s="190"/>
      <c r="U959" s="190"/>
      <c r="V959" s="190"/>
      <c r="W959" s="190"/>
      <c r="X959" s="190"/>
      <c r="Y959" s="190"/>
      <c r="Z959" s="190"/>
    </row>
    <row r="960">
      <c r="A960" s="208"/>
      <c r="B960" s="190"/>
      <c r="C960" s="190"/>
      <c r="D960" s="190"/>
      <c r="E960" s="190"/>
      <c r="F960" s="209"/>
      <c r="G960" s="190"/>
      <c r="H960" s="190"/>
      <c r="I960" s="190"/>
      <c r="J960" s="190"/>
      <c r="K960" s="190"/>
      <c r="L960" s="190"/>
      <c r="M960" s="190"/>
      <c r="N960" s="190"/>
      <c r="O960" s="190"/>
      <c r="P960" s="190"/>
      <c r="Q960" s="190"/>
      <c r="R960" s="190"/>
      <c r="S960" s="190"/>
      <c r="T960" s="190"/>
      <c r="U960" s="190"/>
      <c r="V960" s="190"/>
      <c r="W960" s="190"/>
      <c r="X960" s="190"/>
      <c r="Y960" s="190"/>
      <c r="Z960" s="190"/>
    </row>
    <row r="961">
      <c r="A961" s="208"/>
      <c r="B961" s="190"/>
      <c r="C961" s="190"/>
      <c r="D961" s="190"/>
      <c r="E961" s="190"/>
      <c r="F961" s="209"/>
      <c r="G961" s="190"/>
      <c r="H961" s="190"/>
      <c r="I961" s="190"/>
      <c r="J961" s="190"/>
      <c r="K961" s="190"/>
      <c r="L961" s="190"/>
      <c r="M961" s="190"/>
      <c r="N961" s="190"/>
      <c r="O961" s="190"/>
      <c r="P961" s="190"/>
      <c r="Q961" s="190"/>
      <c r="R961" s="190"/>
      <c r="S961" s="190"/>
      <c r="T961" s="190"/>
      <c r="U961" s="190"/>
      <c r="V961" s="190"/>
      <c r="W961" s="190"/>
      <c r="X961" s="190"/>
      <c r="Y961" s="190"/>
      <c r="Z961" s="190"/>
    </row>
    <row r="962">
      <c r="A962" s="208"/>
      <c r="B962" s="190"/>
      <c r="C962" s="190"/>
      <c r="D962" s="190"/>
      <c r="E962" s="190"/>
      <c r="F962" s="209"/>
      <c r="G962" s="190"/>
      <c r="H962" s="190"/>
      <c r="I962" s="190"/>
      <c r="J962" s="190"/>
      <c r="K962" s="190"/>
      <c r="L962" s="190"/>
      <c r="M962" s="190"/>
      <c r="N962" s="190"/>
      <c r="O962" s="190"/>
      <c r="P962" s="190"/>
      <c r="Q962" s="190"/>
      <c r="R962" s="190"/>
      <c r="S962" s="190"/>
      <c r="T962" s="190"/>
      <c r="U962" s="190"/>
      <c r="V962" s="190"/>
      <c r="W962" s="190"/>
      <c r="X962" s="190"/>
      <c r="Y962" s="190"/>
      <c r="Z962" s="190"/>
    </row>
    <row r="963">
      <c r="A963" s="208"/>
      <c r="B963" s="190"/>
      <c r="C963" s="190"/>
      <c r="D963" s="190"/>
      <c r="E963" s="190"/>
      <c r="F963" s="209"/>
      <c r="G963" s="190"/>
      <c r="H963" s="190"/>
      <c r="I963" s="190"/>
      <c r="J963" s="190"/>
      <c r="K963" s="190"/>
      <c r="L963" s="190"/>
      <c r="M963" s="190"/>
      <c r="N963" s="190"/>
      <c r="O963" s="190"/>
      <c r="P963" s="190"/>
      <c r="Q963" s="190"/>
      <c r="R963" s="190"/>
      <c r="S963" s="190"/>
      <c r="T963" s="190"/>
      <c r="U963" s="190"/>
      <c r="V963" s="190"/>
      <c r="W963" s="190"/>
      <c r="X963" s="190"/>
      <c r="Y963" s="190"/>
      <c r="Z963" s="190"/>
    </row>
    <row r="964">
      <c r="A964" s="208"/>
      <c r="B964" s="190"/>
      <c r="C964" s="190"/>
      <c r="D964" s="190"/>
      <c r="E964" s="190"/>
      <c r="F964" s="209"/>
      <c r="G964" s="190"/>
      <c r="H964" s="190"/>
      <c r="I964" s="190"/>
      <c r="J964" s="190"/>
      <c r="K964" s="190"/>
      <c r="L964" s="190"/>
      <c r="M964" s="190"/>
      <c r="N964" s="190"/>
      <c r="O964" s="190"/>
      <c r="P964" s="190"/>
      <c r="Q964" s="190"/>
      <c r="R964" s="190"/>
      <c r="S964" s="190"/>
      <c r="T964" s="190"/>
      <c r="U964" s="190"/>
      <c r="V964" s="190"/>
      <c r="W964" s="190"/>
      <c r="X964" s="190"/>
      <c r="Y964" s="190"/>
      <c r="Z964" s="190"/>
    </row>
    <row r="965">
      <c r="A965" s="208"/>
      <c r="B965" s="190"/>
      <c r="C965" s="190"/>
      <c r="D965" s="190"/>
      <c r="E965" s="190"/>
      <c r="F965" s="209"/>
      <c r="G965" s="190"/>
      <c r="H965" s="190"/>
      <c r="I965" s="190"/>
      <c r="J965" s="190"/>
      <c r="K965" s="190"/>
      <c r="L965" s="190"/>
      <c r="M965" s="190"/>
      <c r="N965" s="190"/>
      <c r="O965" s="190"/>
      <c r="P965" s="190"/>
      <c r="Q965" s="190"/>
      <c r="R965" s="190"/>
      <c r="S965" s="190"/>
      <c r="T965" s="190"/>
      <c r="U965" s="190"/>
      <c r="V965" s="190"/>
      <c r="W965" s="190"/>
      <c r="X965" s="190"/>
      <c r="Y965" s="190"/>
      <c r="Z965" s="190"/>
    </row>
    <row r="966">
      <c r="A966" s="208"/>
      <c r="B966" s="190"/>
      <c r="C966" s="190"/>
      <c r="D966" s="190"/>
      <c r="E966" s="190"/>
      <c r="F966" s="209"/>
      <c r="G966" s="190"/>
      <c r="H966" s="190"/>
      <c r="I966" s="190"/>
      <c r="J966" s="190"/>
      <c r="K966" s="190"/>
      <c r="L966" s="190"/>
      <c r="M966" s="190"/>
      <c r="N966" s="190"/>
      <c r="O966" s="190"/>
      <c r="P966" s="190"/>
      <c r="Q966" s="190"/>
      <c r="R966" s="190"/>
      <c r="S966" s="190"/>
      <c r="T966" s="190"/>
      <c r="U966" s="190"/>
      <c r="V966" s="190"/>
      <c r="W966" s="190"/>
      <c r="X966" s="190"/>
      <c r="Y966" s="190"/>
      <c r="Z966" s="190"/>
    </row>
    <row r="967">
      <c r="A967" s="208"/>
      <c r="B967" s="190"/>
      <c r="C967" s="190"/>
      <c r="D967" s="190"/>
      <c r="E967" s="190"/>
      <c r="F967" s="209"/>
      <c r="G967" s="190"/>
      <c r="H967" s="190"/>
      <c r="I967" s="190"/>
      <c r="J967" s="190"/>
      <c r="K967" s="190"/>
      <c r="L967" s="190"/>
      <c r="M967" s="190"/>
      <c r="N967" s="190"/>
      <c r="O967" s="190"/>
      <c r="P967" s="190"/>
      <c r="Q967" s="190"/>
      <c r="R967" s="190"/>
      <c r="S967" s="190"/>
      <c r="T967" s="190"/>
      <c r="U967" s="190"/>
      <c r="V967" s="190"/>
      <c r="W967" s="190"/>
      <c r="X967" s="190"/>
      <c r="Y967" s="190"/>
      <c r="Z967" s="190"/>
    </row>
    <row r="968">
      <c r="A968" s="208"/>
      <c r="B968" s="190"/>
      <c r="C968" s="190"/>
      <c r="D968" s="190"/>
      <c r="E968" s="190"/>
      <c r="F968" s="209"/>
      <c r="G968" s="190"/>
      <c r="H968" s="190"/>
      <c r="I968" s="190"/>
      <c r="J968" s="190"/>
      <c r="K968" s="190"/>
      <c r="L968" s="190"/>
      <c r="M968" s="190"/>
      <c r="N968" s="190"/>
      <c r="O968" s="190"/>
      <c r="P968" s="190"/>
      <c r="Q968" s="190"/>
      <c r="R968" s="190"/>
      <c r="S968" s="190"/>
      <c r="T968" s="190"/>
      <c r="U968" s="190"/>
      <c r="V968" s="190"/>
      <c r="W968" s="190"/>
      <c r="X968" s="190"/>
      <c r="Y968" s="190"/>
      <c r="Z968" s="190"/>
    </row>
    <row r="969">
      <c r="A969" s="208"/>
      <c r="B969" s="190"/>
      <c r="C969" s="190"/>
      <c r="D969" s="190"/>
      <c r="E969" s="190"/>
      <c r="F969" s="209"/>
      <c r="G969" s="190"/>
      <c r="H969" s="190"/>
      <c r="I969" s="190"/>
      <c r="J969" s="190"/>
      <c r="K969" s="190"/>
      <c r="L969" s="190"/>
      <c r="M969" s="190"/>
      <c r="N969" s="190"/>
      <c r="O969" s="190"/>
      <c r="P969" s="190"/>
      <c r="Q969" s="190"/>
      <c r="R969" s="190"/>
      <c r="S969" s="190"/>
      <c r="T969" s="190"/>
      <c r="U969" s="190"/>
      <c r="V969" s="190"/>
      <c r="W969" s="190"/>
      <c r="X969" s="190"/>
      <c r="Y969" s="190"/>
      <c r="Z969" s="190"/>
    </row>
    <row r="970">
      <c r="A970" s="208"/>
      <c r="B970" s="190"/>
      <c r="C970" s="190"/>
      <c r="D970" s="190"/>
      <c r="E970" s="190"/>
      <c r="F970" s="209"/>
      <c r="G970" s="190"/>
      <c r="H970" s="190"/>
      <c r="I970" s="190"/>
      <c r="J970" s="190"/>
      <c r="K970" s="190"/>
      <c r="L970" s="190"/>
      <c r="M970" s="190"/>
      <c r="N970" s="190"/>
      <c r="O970" s="190"/>
      <c r="P970" s="190"/>
      <c r="Q970" s="190"/>
      <c r="R970" s="190"/>
      <c r="S970" s="190"/>
      <c r="T970" s="190"/>
      <c r="U970" s="190"/>
      <c r="V970" s="190"/>
      <c r="W970" s="190"/>
      <c r="X970" s="190"/>
      <c r="Y970" s="190"/>
      <c r="Z970" s="190"/>
    </row>
    <row r="971">
      <c r="A971" s="208"/>
      <c r="B971" s="190"/>
      <c r="C971" s="190"/>
      <c r="D971" s="190"/>
      <c r="E971" s="190"/>
      <c r="F971" s="209"/>
      <c r="G971" s="190"/>
      <c r="H971" s="190"/>
      <c r="I971" s="190"/>
      <c r="J971" s="190"/>
      <c r="K971" s="190"/>
      <c r="L971" s="190"/>
      <c r="M971" s="190"/>
      <c r="N971" s="190"/>
      <c r="O971" s="190"/>
      <c r="P971" s="190"/>
      <c r="Q971" s="190"/>
      <c r="R971" s="190"/>
      <c r="S971" s="190"/>
      <c r="T971" s="190"/>
      <c r="U971" s="190"/>
      <c r="V971" s="190"/>
      <c r="W971" s="190"/>
      <c r="X971" s="190"/>
      <c r="Y971" s="190"/>
      <c r="Z971" s="190"/>
    </row>
    <row r="972">
      <c r="A972" s="208"/>
      <c r="B972" s="190"/>
      <c r="C972" s="190"/>
      <c r="D972" s="190"/>
      <c r="E972" s="190"/>
      <c r="F972" s="209"/>
      <c r="G972" s="190"/>
      <c r="H972" s="190"/>
      <c r="I972" s="190"/>
      <c r="J972" s="190"/>
      <c r="K972" s="190"/>
      <c r="L972" s="190"/>
      <c r="M972" s="190"/>
      <c r="N972" s="190"/>
      <c r="O972" s="190"/>
      <c r="P972" s="190"/>
      <c r="Q972" s="190"/>
      <c r="R972" s="190"/>
      <c r="S972" s="190"/>
      <c r="T972" s="190"/>
      <c r="U972" s="190"/>
      <c r="V972" s="190"/>
      <c r="W972" s="190"/>
      <c r="X972" s="190"/>
      <c r="Y972" s="190"/>
      <c r="Z972" s="190"/>
    </row>
    <row r="973">
      <c r="A973" s="208"/>
      <c r="B973" s="190"/>
      <c r="C973" s="190"/>
      <c r="D973" s="190"/>
      <c r="E973" s="190"/>
      <c r="F973" s="209"/>
      <c r="G973" s="190"/>
      <c r="H973" s="190"/>
      <c r="I973" s="190"/>
      <c r="J973" s="190"/>
      <c r="K973" s="190"/>
      <c r="L973" s="190"/>
      <c r="M973" s="190"/>
      <c r="N973" s="190"/>
      <c r="O973" s="190"/>
      <c r="P973" s="190"/>
      <c r="Q973" s="190"/>
      <c r="R973" s="190"/>
      <c r="S973" s="190"/>
      <c r="T973" s="190"/>
      <c r="U973" s="190"/>
      <c r="V973" s="190"/>
      <c r="W973" s="190"/>
      <c r="X973" s="190"/>
      <c r="Y973" s="190"/>
      <c r="Z973" s="190"/>
    </row>
    <row r="974">
      <c r="A974" s="208"/>
      <c r="B974" s="190"/>
      <c r="C974" s="190"/>
      <c r="D974" s="190"/>
      <c r="E974" s="190"/>
      <c r="F974" s="209"/>
      <c r="G974" s="190"/>
      <c r="H974" s="190"/>
      <c r="I974" s="190"/>
      <c r="J974" s="190"/>
      <c r="K974" s="190"/>
      <c r="L974" s="190"/>
      <c r="M974" s="190"/>
      <c r="N974" s="190"/>
      <c r="O974" s="190"/>
      <c r="P974" s="190"/>
      <c r="Q974" s="190"/>
      <c r="R974" s="190"/>
      <c r="S974" s="190"/>
      <c r="T974" s="190"/>
      <c r="U974" s="190"/>
      <c r="V974" s="190"/>
      <c r="W974" s="190"/>
      <c r="X974" s="190"/>
      <c r="Y974" s="190"/>
      <c r="Z974" s="190"/>
    </row>
    <row r="975">
      <c r="A975" s="208"/>
      <c r="B975" s="190"/>
      <c r="C975" s="190"/>
      <c r="D975" s="190"/>
      <c r="E975" s="190"/>
      <c r="F975" s="209"/>
      <c r="G975" s="190"/>
      <c r="H975" s="190"/>
      <c r="I975" s="190"/>
      <c r="J975" s="190"/>
      <c r="K975" s="190"/>
      <c r="L975" s="190"/>
      <c r="M975" s="190"/>
      <c r="N975" s="190"/>
      <c r="O975" s="190"/>
      <c r="P975" s="190"/>
      <c r="Q975" s="190"/>
      <c r="R975" s="190"/>
      <c r="S975" s="190"/>
      <c r="T975" s="190"/>
      <c r="U975" s="190"/>
      <c r="V975" s="190"/>
      <c r="W975" s="190"/>
      <c r="X975" s="190"/>
      <c r="Y975" s="190"/>
      <c r="Z975" s="190"/>
    </row>
    <row r="976">
      <c r="A976" s="208"/>
      <c r="B976" s="190"/>
      <c r="C976" s="190"/>
      <c r="D976" s="190"/>
      <c r="E976" s="190"/>
      <c r="F976" s="209"/>
      <c r="G976" s="190"/>
      <c r="H976" s="190"/>
      <c r="I976" s="190"/>
      <c r="J976" s="190"/>
      <c r="K976" s="190"/>
      <c r="L976" s="190"/>
      <c r="M976" s="190"/>
      <c r="N976" s="190"/>
      <c r="O976" s="190"/>
      <c r="P976" s="190"/>
      <c r="Q976" s="190"/>
      <c r="R976" s="190"/>
      <c r="S976" s="190"/>
      <c r="T976" s="190"/>
      <c r="U976" s="190"/>
      <c r="V976" s="190"/>
      <c r="W976" s="190"/>
      <c r="X976" s="190"/>
      <c r="Y976" s="190"/>
      <c r="Z976" s="190"/>
    </row>
    <row r="977">
      <c r="A977" s="208"/>
      <c r="B977" s="190"/>
      <c r="C977" s="190"/>
      <c r="D977" s="190"/>
      <c r="E977" s="190"/>
      <c r="F977" s="209"/>
      <c r="G977" s="190"/>
      <c r="H977" s="190"/>
      <c r="I977" s="190"/>
      <c r="J977" s="190"/>
      <c r="K977" s="190"/>
      <c r="L977" s="190"/>
      <c r="M977" s="190"/>
      <c r="N977" s="190"/>
      <c r="O977" s="190"/>
      <c r="P977" s="190"/>
      <c r="Q977" s="190"/>
      <c r="R977" s="190"/>
      <c r="S977" s="190"/>
      <c r="T977" s="190"/>
      <c r="U977" s="190"/>
      <c r="V977" s="190"/>
      <c r="W977" s="190"/>
      <c r="X977" s="190"/>
      <c r="Y977" s="190"/>
      <c r="Z977" s="190"/>
    </row>
    <row r="978">
      <c r="A978" s="208"/>
      <c r="B978" s="190"/>
      <c r="C978" s="190"/>
      <c r="D978" s="190"/>
      <c r="E978" s="190"/>
      <c r="F978" s="209"/>
      <c r="G978" s="190"/>
      <c r="H978" s="190"/>
      <c r="I978" s="190"/>
      <c r="J978" s="190"/>
      <c r="K978" s="190"/>
      <c r="L978" s="190"/>
      <c r="M978" s="190"/>
      <c r="N978" s="190"/>
      <c r="O978" s="190"/>
      <c r="P978" s="190"/>
      <c r="Q978" s="190"/>
      <c r="R978" s="190"/>
      <c r="S978" s="190"/>
      <c r="T978" s="190"/>
      <c r="U978" s="190"/>
      <c r="V978" s="190"/>
      <c r="W978" s="190"/>
      <c r="X978" s="190"/>
      <c r="Y978" s="190"/>
      <c r="Z978" s="190"/>
    </row>
    <row r="979">
      <c r="A979" s="208"/>
      <c r="B979" s="190"/>
      <c r="C979" s="190"/>
      <c r="D979" s="190"/>
      <c r="E979" s="190"/>
      <c r="F979" s="209"/>
      <c r="G979" s="190"/>
      <c r="H979" s="190"/>
      <c r="I979" s="190"/>
      <c r="J979" s="190"/>
      <c r="K979" s="190"/>
      <c r="L979" s="190"/>
      <c r="M979" s="190"/>
      <c r="N979" s="190"/>
      <c r="O979" s="190"/>
      <c r="P979" s="190"/>
      <c r="Q979" s="190"/>
      <c r="R979" s="190"/>
      <c r="S979" s="190"/>
      <c r="T979" s="190"/>
      <c r="U979" s="190"/>
      <c r="V979" s="190"/>
      <c r="W979" s="190"/>
      <c r="X979" s="190"/>
      <c r="Y979" s="190"/>
      <c r="Z979" s="190"/>
    </row>
    <row r="980">
      <c r="A980" s="208"/>
      <c r="B980" s="190"/>
      <c r="C980" s="190"/>
      <c r="D980" s="190"/>
      <c r="E980" s="190"/>
      <c r="F980" s="209"/>
      <c r="G980" s="190"/>
      <c r="H980" s="190"/>
      <c r="I980" s="190"/>
      <c r="J980" s="190"/>
      <c r="K980" s="190"/>
      <c r="L980" s="190"/>
      <c r="M980" s="190"/>
      <c r="N980" s="190"/>
      <c r="O980" s="190"/>
      <c r="P980" s="190"/>
      <c r="Q980" s="190"/>
      <c r="R980" s="190"/>
      <c r="S980" s="190"/>
      <c r="T980" s="190"/>
      <c r="U980" s="190"/>
      <c r="V980" s="190"/>
      <c r="W980" s="190"/>
      <c r="X980" s="190"/>
      <c r="Y980" s="190"/>
      <c r="Z980" s="190"/>
    </row>
    <row r="981">
      <c r="A981" s="208"/>
      <c r="B981" s="190"/>
      <c r="C981" s="190"/>
      <c r="D981" s="190"/>
      <c r="E981" s="190"/>
      <c r="F981" s="209"/>
      <c r="G981" s="190"/>
      <c r="H981" s="190"/>
      <c r="I981" s="190"/>
      <c r="J981" s="190"/>
      <c r="K981" s="190"/>
      <c r="L981" s="190"/>
      <c r="M981" s="190"/>
      <c r="N981" s="190"/>
      <c r="O981" s="190"/>
      <c r="P981" s="190"/>
      <c r="Q981" s="190"/>
      <c r="R981" s="190"/>
      <c r="S981" s="190"/>
      <c r="T981" s="190"/>
      <c r="U981" s="190"/>
      <c r="V981" s="190"/>
      <c r="W981" s="190"/>
      <c r="X981" s="190"/>
      <c r="Y981" s="190"/>
      <c r="Z981" s="190"/>
    </row>
    <row r="982">
      <c r="A982" s="208"/>
      <c r="B982" s="190"/>
      <c r="C982" s="190"/>
      <c r="D982" s="190"/>
      <c r="E982" s="190"/>
      <c r="F982" s="209"/>
      <c r="G982" s="190"/>
      <c r="H982" s="190"/>
      <c r="I982" s="190"/>
      <c r="J982" s="190"/>
      <c r="K982" s="190"/>
      <c r="L982" s="190"/>
      <c r="M982" s="190"/>
      <c r="N982" s="190"/>
      <c r="O982" s="190"/>
      <c r="P982" s="190"/>
      <c r="Q982" s="190"/>
      <c r="R982" s="190"/>
      <c r="S982" s="190"/>
      <c r="T982" s="190"/>
      <c r="U982" s="190"/>
      <c r="V982" s="190"/>
      <c r="W982" s="190"/>
      <c r="X982" s="190"/>
      <c r="Y982" s="190"/>
      <c r="Z982" s="190"/>
    </row>
    <row r="983">
      <c r="A983" s="208"/>
      <c r="B983" s="190"/>
      <c r="C983" s="190"/>
      <c r="D983" s="190"/>
      <c r="E983" s="190"/>
      <c r="F983" s="209"/>
      <c r="G983" s="190"/>
      <c r="H983" s="190"/>
      <c r="I983" s="190"/>
      <c r="J983" s="190"/>
      <c r="K983" s="190"/>
      <c r="L983" s="190"/>
      <c r="M983" s="190"/>
      <c r="N983" s="190"/>
      <c r="O983" s="190"/>
      <c r="P983" s="190"/>
      <c r="Q983" s="190"/>
      <c r="R983" s="190"/>
      <c r="S983" s="190"/>
      <c r="T983" s="190"/>
      <c r="U983" s="190"/>
      <c r="V983" s="190"/>
      <c r="W983" s="190"/>
      <c r="X983" s="190"/>
      <c r="Y983" s="190"/>
      <c r="Z983" s="190"/>
    </row>
    <row r="984">
      <c r="A984" s="208"/>
      <c r="B984" s="190"/>
      <c r="C984" s="190"/>
      <c r="D984" s="190"/>
      <c r="E984" s="190"/>
      <c r="F984" s="209"/>
      <c r="G984" s="190"/>
      <c r="H984" s="190"/>
      <c r="I984" s="190"/>
      <c r="J984" s="190"/>
      <c r="K984" s="190"/>
      <c r="L984" s="190"/>
      <c r="M984" s="190"/>
      <c r="N984" s="190"/>
      <c r="O984" s="190"/>
      <c r="P984" s="190"/>
      <c r="Q984" s="190"/>
      <c r="R984" s="190"/>
      <c r="S984" s="190"/>
      <c r="T984" s="190"/>
      <c r="U984" s="190"/>
      <c r="V984" s="190"/>
      <c r="W984" s="190"/>
      <c r="X984" s="190"/>
      <c r="Y984" s="190"/>
      <c r="Z984" s="190"/>
    </row>
    <row r="985">
      <c r="A985" s="208"/>
      <c r="B985" s="190"/>
      <c r="C985" s="190"/>
      <c r="D985" s="190"/>
      <c r="E985" s="190"/>
      <c r="F985" s="209"/>
      <c r="G985" s="190"/>
      <c r="H985" s="190"/>
      <c r="I985" s="190"/>
      <c r="J985" s="190"/>
      <c r="K985" s="190"/>
      <c r="L985" s="190"/>
      <c r="M985" s="190"/>
      <c r="N985" s="190"/>
      <c r="O985" s="190"/>
      <c r="P985" s="190"/>
      <c r="Q985" s="190"/>
      <c r="R985" s="190"/>
      <c r="S985" s="190"/>
      <c r="T985" s="190"/>
      <c r="U985" s="190"/>
      <c r="V985" s="190"/>
      <c r="W985" s="190"/>
      <c r="X985" s="190"/>
      <c r="Y985" s="190"/>
      <c r="Z985" s="190"/>
    </row>
    <row r="986">
      <c r="A986" s="208"/>
      <c r="B986" s="190"/>
      <c r="C986" s="190"/>
      <c r="D986" s="190"/>
      <c r="E986" s="190"/>
      <c r="F986" s="209"/>
      <c r="G986" s="190"/>
      <c r="H986" s="190"/>
      <c r="I986" s="190"/>
      <c r="J986" s="190"/>
      <c r="K986" s="190"/>
      <c r="L986" s="190"/>
      <c r="M986" s="190"/>
      <c r="N986" s="190"/>
      <c r="O986" s="190"/>
      <c r="P986" s="190"/>
      <c r="Q986" s="190"/>
      <c r="R986" s="190"/>
      <c r="S986" s="190"/>
      <c r="T986" s="190"/>
      <c r="U986" s="190"/>
      <c r="V986" s="190"/>
      <c r="W986" s="190"/>
      <c r="X986" s="190"/>
      <c r="Y986" s="190"/>
      <c r="Z986" s="190"/>
    </row>
    <row r="987">
      <c r="A987" s="208"/>
      <c r="B987" s="190"/>
      <c r="C987" s="190"/>
      <c r="D987" s="190"/>
      <c r="E987" s="190"/>
      <c r="F987" s="209"/>
      <c r="G987" s="190"/>
      <c r="H987" s="190"/>
      <c r="I987" s="190"/>
      <c r="J987" s="190"/>
      <c r="K987" s="190"/>
      <c r="L987" s="190"/>
      <c r="M987" s="190"/>
      <c r="N987" s="190"/>
      <c r="O987" s="190"/>
      <c r="P987" s="190"/>
      <c r="Q987" s="190"/>
      <c r="R987" s="190"/>
      <c r="S987" s="190"/>
      <c r="T987" s="190"/>
      <c r="U987" s="190"/>
      <c r="V987" s="190"/>
      <c r="W987" s="190"/>
      <c r="X987" s="190"/>
      <c r="Y987" s="190"/>
      <c r="Z987" s="190"/>
    </row>
    <row r="988">
      <c r="A988" s="208"/>
      <c r="B988" s="190"/>
      <c r="C988" s="190"/>
      <c r="D988" s="190"/>
      <c r="E988" s="190"/>
      <c r="F988" s="209"/>
      <c r="G988" s="190"/>
      <c r="H988" s="190"/>
      <c r="I988" s="190"/>
      <c r="J988" s="190"/>
      <c r="K988" s="190"/>
      <c r="L988" s="190"/>
      <c r="M988" s="190"/>
      <c r="N988" s="190"/>
      <c r="O988" s="190"/>
      <c r="P988" s="190"/>
      <c r="Q988" s="190"/>
      <c r="R988" s="190"/>
      <c r="S988" s="190"/>
      <c r="T988" s="190"/>
      <c r="U988" s="190"/>
      <c r="V988" s="190"/>
      <c r="W988" s="190"/>
      <c r="X988" s="190"/>
      <c r="Y988" s="190"/>
      <c r="Z988" s="190"/>
    </row>
    <row r="989">
      <c r="A989" s="208"/>
      <c r="B989" s="190"/>
      <c r="C989" s="190"/>
      <c r="D989" s="190"/>
      <c r="E989" s="190"/>
      <c r="F989" s="209"/>
      <c r="G989" s="190"/>
      <c r="H989" s="190"/>
      <c r="I989" s="190"/>
      <c r="J989" s="190"/>
      <c r="K989" s="190"/>
      <c r="L989" s="190"/>
      <c r="M989" s="190"/>
      <c r="N989" s="190"/>
      <c r="O989" s="190"/>
      <c r="P989" s="190"/>
      <c r="Q989" s="190"/>
      <c r="R989" s="190"/>
      <c r="S989" s="190"/>
      <c r="T989" s="190"/>
      <c r="U989" s="190"/>
      <c r="V989" s="190"/>
      <c r="W989" s="190"/>
      <c r="X989" s="190"/>
      <c r="Y989" s="190"/>
      <c r="Z989" s="190"/>
    </row>
    <row r="990">
      <c r="A990" s="208"/>
      <c r="B990" s="190"/>
      <c r="C990" s="190"/>
      <c r="D990" s="190"/>
      <c r="E990" s="190"/>
      <c r="F990" s="209"/>
      <c r="G990" s="190"/>
      <c r="H990" s="190"/>
      <c r="I990" s="190"/>
      <c r="J990" s="190"/>
      <c r="K990" s="190"/>
      <c r="L990" s="190"/>
      <c r="M990" s="190"/>
      <c r="N990" s="190"/>
      <c r="O990" s="190"/>
      <c r="P990" s="190"/>
      <c r="Q990" s="190"/>
      <c r="R990" s="190"/>
      <c r="S990" s="190"/>
      <c r="T990" s="190"/>
      <c r="U990" s="190"/>
      <c r="V990" s="190"/>
      <c r="W990" s="190"/>
      <c r="X990" s="190"/>
      <c r="Y990" s="190"/>
      <c r="Z990" s="190"/>
    </row>
    <row r="991">
      <c r="A991" s="208"/>
      <c r="B991" s="190"/>
      <c r="C991" s="190"/>
      <c r="D991" s="190"/>
      <c r="E991" s="190"/>
      <c r="F991" s="209"/>
      <c r="G991" s="190"/>
      <c r="H991" s="190"/>
      <c r="I991" s="190"/>
      <c r="J991" s="190"/>
      <c r="K991" s="190"/>
      <c r="L991" s="190"/>
      <c r="M991" s="190"/>
      <c r="N991" s="190"/>
      <c r="O991" s="190"/>
      <c r="P991" s="190"/>
      <c r="Q991" s="190"/>
      <c r="R991" s="190"/>
      <c r="S991" s="190"/>
      <c r="T991" s="190"/>
      <c r="U991" s="190"/>
      <c r="V991" s="190"/>
      <c r="W991" s="190"/>
      <c r="X991" s="190"/>
      <c r="Y991" s="190"/>
      <c r="Z991" s="190"/>
    </row>
    <row r="992">
      <c r="A992" s="208"/>
      <c r="B992" s="190"/>
      <c r="C992" s="190"/>
      <c r="D992" s="190"/>
      <c r="E992" s="190"/>
      <c r="F992" s="209"/>
      <c r="G992" s="190"/>
      <c r="H992" s="190"/>
      <c r="I992" s="190"/>
      <c r="J992" s="190"/>
      <c r="K992" s="190"/>
      <c r="L992" s="190"/>
      <c r="M992" s="190"/>
      <c r="N992" s="190"/>
      <c r="O992" s="190"/>
      <c r="P992" s="190"/>
      <c r="Q992" s="190"/>
      <c r="R992" s="190"/>
      <c r="S992" s="190"/>
      <c r="T992" s="190"/>
      <c r="U992" s="190"/>
      <c r="V992" s="190"/>
      <c r="W992" s="190"/>
      <c r="X992" s="190"/>
      <c r="Y992" s="190"/>
      <c r="Z992" s="190"/>
    </row>
    <row r="993">
      <c r="A993" s="208"/>
      <c r="B993" s="190"/>
      <c r="C993" s="190"/>
      <c r="D993" s="190"/>
      <c r="E993" s="190"/>
      <c r="F993" s="209"/>
      <c r="G993" s="190"/>
      <c r="H993" s="190"/>
      <c r="I993" s="190"/>
      <c r="J993" s="190"/>
      <c r="K993" s="190"/>
      <c r="L993" s="190"/>
      <c r="M993" s="190"/>
      <c r="N993" s="190"/>
      <c r="O993" s="190"/>
      <c r="P993" s="190"/>
      <c r="Q993" s="190"/>
      <c r="R993" s="190"/>
      <c r="S993" s="190"/>
      <c r="T993" s="190"/>
      <c r="U993" s="190"/>
      <c r="V993" s="190"/>
      <c r="W993" s="190"/>
      <c r="X993" s="190"/>
      <c r="Y993" s="190"/>
      <c r="Z993" s="190"/>
    </row>
    <row r="994">
      <c r="A994" s="208"/>
      <c r="B994" s="190"/>
      <c r="C994" s="190"/>
      <c r="D994" s="190"/>
      <c r="E994" s="190"/>
      <c r="F994" s="209"/>
      <c r="G994" s="190"/>
      <c r="H994" s="190"/>
      <c r="I994" s="190"/>
      <c r="J994" s="190"/>
      <c r="K994" s="190"/>
      <c r="L994" s="190"/>
      <c r="M994" s="190"/>
      <c r="N994" s="190"/>
      <c r="O994" s="190"/>
      <c r="P994" s="190"/>
      <c r="Q994" s="190"/>
      <c r="R994" s="190"/>
      <c r="S994" s="190"/>
      <c r="T994" s="190"/>
      <c r="U994" s="190"/>
      <c r="V994" s="190"/>
      <c r="W994" s="190"/>
      <c r="X994" s="190"/>
      <c r="Y994" s="190"/>
      <c r="Z994" s="190"/>
    </row>
    <row r="995">
      <c r="A995" s="208"/>
      <c r="B995" s="190"/>
      <c r="C995" s="190"/>
      <c r="D995" s="190"/>
      <c r="E995" s="190"/>
      <c r="F995" s="209"/>
      <c r="G995" s="190"/>
      <c r="H995" s="190"/>
      <c r="I995" s="190"/>
      <c r="J995" s="190"/>
      <c r="K995" s="190"/>
      <c r="L995" s="190"/>
      <c r="M995" s="190"/>
      <c r="N995" s="190"/>
      <c r="O995" s="190"/>
      <c r="P995" s="190"/>
      <c r="Q995" s="190"/>
      <c r="R995" s="190"/>
      <c r="S995" s="190"/>
      <c r="T995" s="190"/>
      <c r="U995" s="190"/>
      <c r="V995" s="190"/>
      <c r="W995" s="190"/>
      <c r="X995" s="190"/>
      <c r="Y995" s="190"/>
      <c r="Z995" s="190"/>
    </row>
    <row r="996">
      <c r="A996" s="208"/>
      <c r="B996" s="190"/>
      <c r="C996" s="190"/>
      <c r="D996" s="190"/>
      <c r="E996" s="190"/>
      <c r="F996" s="209"/>
      <c r="G996" s="190"/>
      <c r="H996" s="190"/>
      <c r="I996" s="190"/>
      <c r="J996" s="190"/>
      <c r="K996" s="190"/>
      <c r="L996" s="190"/>
      <c r="M996" s="190"/>
      <c r="N996" s="190"/>
      <c r="O996" s="190"/>
      <c r="P996" s="190"/>
      <c r="Q996" s="190"/>
      <c r="R996" s="190"/>
      <c r="S996" s="190"/>
      <c r="T996" s="190"/>
      <c r="U996" s="190"/>
      <c r="V996" s="190"/>
      <c r="W996" s="190"/>
      <c r="X996" s="190"/>
      <c r="Y996" s="190"/>
      <c r="Z996" s="190"/>
    </row>
    <row r="997">
      <c r="A997" s="208"/>
      <c r="B997" s="190"/>
      <c r="C997" s="190"/>
      <c r="D997" s="190"/>
      <c r="E997" s="190"/>
      <c r="F997" s="209"/>
      <c r="G997" s="190"/>
      <c r="H997" s="190"/>
      <c r="I997" s="190"/>
      <c r="J997" s="190"/>
      <c r="K997" s="190"/>
      <c r="L997" s="190"/>
      <c r="M997" s="190"/>
      <c r="N997" s="190"/>
      <c r="O997" s="190"/>
      <c r="P997" s="190"/>
      <c r="Q997" s="190"/>
      <c r="R997" s="190"/>
      <c r="S997" s="190"/>
      <c r="T997" s="190"/>
      <c r="U997" s="190"/>
      <c r="V997" s="190"/>
      <c r="W997" s="190"/>
      <c r="X997" s="190"/>
      <c r="Y997" s="190"/>
      <c r="Z997" s="190"/>
    </row>
    <row r="998">
      <c r="A998" s="208"/>
      <c r="B998" s="190"/>
      <c r="C998" s="190"/>
      <c r="D998" s="190"/>
      <c r="E998" s="190"/>
      <c r="F998" s="209"/>
      <c r="G998" s="190"/>
      <c r="H998" s="190"/>
      <c r="I998" s="190"/>
      <c r="J998" s="190"/>
      <c r="K998" s="190"/>
      <c r="L998" s="190"/>
      <c r="M998" s="190"/>
      <c r="N998" s="190"/>
      <c r="O998" s="190"/>
      <c r="P998" s="190"/>
      <c r="Q998" s="190"/>
      <c r="R998" s="190"/>
      <c r="S998" s="190"/>
      <c r="T998" s="190"/>
      <c r="U998" s="190"/>
      <c r="V998" s="190"/>
      <c r="W998" s="190"/>
      <c r="X998" s="190"/>
      <c r="Y998" s="190"/>
      <c r="Z998" s="190"/>
    </row>
    <row r="999">
      <c r="A999" s="208"/>
      <c r="B999" s="190"/>
      <c r="C999" s="190"/>
      <c r="D999" s="190"/>
      <c r="E999" s="190"/>
      <c r="F999" s="209"/>
      <c r="G999" s="190"/>
      <c r="H999" s="190"/>
      <c r="I999" s="190"/>
      <c r="J999" s="190"/>
      <c r="K999" s="190"/>
      <c r="L999" s="190"/>
      <c r="M999" s="190"/>
      <c r="N999" s="190"/>
      <c r="O999" s="190"/>
      <c r="P999" s="190"/>
      <c r="Q999" s="190"/>
      <c r="R999" s="190"/>
      <c r="S999" s="190"/>
      <c r="T999" s="190"/>
      <c r="U999" s="190"/>
      <c r="V999" s="190"/>
      <c r="W999" s="190"/>
      <c r="X999" s="190"/>
      <c r="Y999" s="190"/>
      <c r="Z999" s="190"/>
    </row>
    <row r="1000">
      <c r="A1000" s="208"/>
      <c r="B1000" s="190"/>
      <c r="C1000" s="190"/>
      <c r="D1000" s="190"/>
      <c r="E1000" s="190"/>
      <c r="F1000" s="209"/>
      <c r="G1000" s="190"/>
      <c r="H1000" s="190"/>
      <c r="I1000" s="190"/>
      <c r="J1000" s="190"/>
      <c r="K1000" s="190"/>
      <c r="L1000" s="190"/>
      <c r="M1000" s="190"/>
      <c r="N1000" s="190"/>
      <c r="O1000" s="190"/>
      <c r="P1000" s="190"/>
      <c r="Q1000" s="190"/>
      <c r="R1000" s="190"/>
      <c r="S1000" s="190"/>
      <c r="T1000" s="190"/>
      <c r="U1000" s="190"/>
      <c r="V1000" s="190"/>
      <c r="W1000" s="190"/>
      <c r="X1000" s="190"/>
      <c r="Y1000" s="190"/>
      <c r="Z1000" s="190"/>
    </row>
    <row r="1001">
      <c r="A1001" s="208"/>
      <c r="B1001" s="190"/>
      <c r="C1001" s="190"/>
      <c r="D1001" s="190"/>
      <c r="E1001" s="190"/>
      <c r="F1001" s="209"/>
      <c r="G1001" s="190"/>
      <c r="H1001" s="190"/>
      <c r="I1001" s="190"/>
      <c r="J1001" s="190"/>
      <c r="K1001" s="190"/>
      <c r="L1001" s="190"/>
      <c r="M1001" s="190"/>
      <c r="N1001" s="190"/>
      <c r="O1001" s="190"/>
      <c r="P1001" s="190"/>
      <c r="Q1001" s="190"/>
      <c r="R1001" s="190"/>
      <c r="S1001" s="190"/>
      <c r="T1001" s="190"/>
      <c r="U1001" s="190"/>
      <c r="V1001" s="190"/>
      <c r="W1001" s="190"/>
      <c r="X1001" s="190"/>
      <c r="Y1001" s="190"/>
      <c r="Z1001" s="190"/>
    </row>
  </sheetData>
  <mergeCells count="3">
    <mergeCell ref="B1:F1"/>
    <mergeCell ref="G1:K1"/>
    <mergeCell ref="A2:A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</cols>
  <sheetData>
    <row r="1">
      <c r="A1" s="210" t="s">
        <v>237</v>
      </c>
      <c r="B1" s="211"/>
      <c r="C1" s="211"/>
      <c r="D1" s="211"/>
      <c r="E1" s="211"/>
      <c r="F1" s="211"/>
    </row>
    <row r="2">
      <c r="A2" s="212" t="s">
        <v>73</v>
      </c>
    </row>
    <row r="3">
      <c r="A3" s="213" t="s">
        <v>0</v>
      </c>
      <c r="B3" s="213">
        <v>2021.0</v>
      </c>
      <c r="C3" s="213">
        <v>2020.0</v>
      </c>
      <c r="D3" s="213">
        <v>2019.0</v>
      </c>
      <c r="E3" s="213">
        <v>2018.0</v>
      </c>
      <c r="F3" s="213">
        <v>2017.0</v>
      </c>
    </row>
    <row r="4">
      <c r="A4" s="151" t="s">
        <v>219</v>
      </c>
      <c r="B4" s="152">
        <v>683800.0</v>
      </c>
      <c r="C4" s="152">
        <v>411500.0</v>
      </c>
      <c r="D4" s="152">
        <v>564600.0</v>
      </c>
      <c r="E4" s="152">
        <v>646600.0</v>
      </c>
      <c r="F4" s="152">
        <v>641400.0</v>
      </c>
    </row>
    <row r="5">
      <c r="A5" s="151" t="s">
        <v>238</v>
      </c>
      <c r="B5" s="214">
        <f>5223.6*1000</f>
        <v>5223600</v>
      </c>
      <c r="C5" s="214">
        <f>4606.3*1000</f>
        <v>4606300</v>
      </c>
      <c r="D5" s="214">
        <f>4670.2*1000</f>
        <v>4670200</v>
      </c>
      <c r="E5" s="214">
        <f>4486.4*1000</f>
        <v>4486400</v>
      </c>
      <c r="F5" s="215">
        <f>4195*1000</f>
        <v>4195000</v>
      </c>
    </row>
    <row r="6">
      <c r="A6" s="151" t="s">
        <v>239</v>
      </c>
      <c r="B6" s="152">
        <v>4585500.0</v>
      </c>
      <c r="C6" s="152">
        <v>4016800.0</v>
      </c>
      <c r="D6" s="152">
        <v>4509000.0</v>
      </c>
      <c r="E6" s="152">
        <v>4313200.0</v>
      </c>
      <c r="F6" s="152">
        <v>4088400.0</v>
      </c>
    </row>
    <row r="7">
      <c r="A7" s="151" t="s">
        <v>240</v>
      </c>
      <c r="B7" s="152">
        <v>8503550.0</v>
      </c>
      <c r="C7" s="216">
        <v>8045900.0</v>
      </c>
      <c r="D7" s="216">
        <v>7645300.0</v>
      </c>
      <c r="E7" s="216">
        <v>7112700.0</v>
      </c>
      <c r="F7" s="216">
        <v>6702200.0</v>
      </c>
    </row>
    <row r="8">
      <c r="A8" s="151" t="s">
        <v>241</v>
      </c>
      <c r="B8" s="152">
        <v>4914950.0</v>
      </c>
      <c r="C8" s="216">
        <v>4638250.0</v>
      </c>
      <c r="D8" s="216">
        <v>4578300.0</v>
      </c>
      <c r="E8" s="216">
        <v>4340700.0</v>
      </c>
      <c r="F8" s="216">
        <v>3934500.0</v>
      </c>
    </row>
    <row r="9">
      <c r="A9" s="217" t="s">
        <v>242</v>
      </c>
      <c r="B9" s="41"/>
      <c r="C9" s="41"/>
      <c r="D9" s="41"/>
      <c r="E9" s="41"/>
      <c r="F9" s="41"/>
    </row>
    <row r="10">
      <c r="A10" s="218" t="s">
        <v>243</v>
      </c>
      <c r="B10" s="219">
        <f t="shared" ref="B10:F10" si="1">B4/B6</f>
        <v>0.1491222331</v>
      </c>
      <c r="C10" s="219">
        <f t="shared" si="1"/>
        <v>0.1024447321</v>
      </c>
      <c r="D10" s="219">
        <f t="shared" si="1"/>
        <v>0.1252162342</v>
      </c>
      <c r="E10" s="219">
        <f t="shared" si="1"/>
        <v>0.1499118984</v>
      </c>
      <c r="F10" s="219">
        <f t="shared" si="1"/>
        <v>0.1568828882</v>
      </c>
    </row>
    <row r="11">
      <c r="A11" s="218" t="s">
        <v>197</v>
      </c>
      <c r="B11" s="219">
        <f t="shared" ref="B11:F11" si="2">B6/B7</f>
        <v>0.539245374</v>
      </c>
      <c r="C11" s="219">
        <f t="shared" si="2"/>
        <v>0.4992356355</v>
      </c>
      <c r="D11" s="219">
        <f t="shared" si="2"/>
        <v>0.5897741096</v>
      </c>
      <c r="E11" s="219">
        <f t="shared" si="2"/>
        <v>0.6064082557</v>
      </c>
      <c r="F11" s="219">
        <f t="shared" si="2"/>
        <v>0.6100086539</v>
      </c>
    </row>
    <row r="12">
      <c r="A12" s="218" t="s">
        <v>244</v>
      </c>
      <c r="B12" s="219">
        <f t="shared" ref="B12:F12" si="3">B7/B8</f>
        <v>1.730139676</v>
      </c>
      <c r="C12" s="219">
        <f t="shared" si="3"/>
        <v>1.734684418</v>
      </c>
      <c r="D12" s="219">
        <f t="shared" si="3"/>
        <v>1.669899308</v>
      </c>
      <c r="E12" s="219">
        <f t="shared" si="3"/>
        <v>1.638606676</v>
      </c>
      <c r="F12" s="219">
        <f t="shared" si="3"/>
        <v>1.703443894</v>
      </c>
    </row>
    <row r="13">
      <c r="A13" s="169"/>
      <c r="B13" s="169"/>
      <c r="C13" s="169"/>
      <c r="D13" s="169"/>
      <c r="E13" s="169"/>
      <c r="F13" s="169"/>
    </row>
    <row r="14">
      <c r="A14" s="169"/>
      <c r="B14" s="169"/>
      <c r="C14" s="169"/>
      <c r="D14" s="169"/>
      <c r="E14" s="169"/>
      <c r="F14" s="169"/>
    </row>
    <row r="15">
      <c r="A15" s="189" t="s">
        <v>74</v>
      </c>
    </row>
    <row r="16">
      <c r="A16" s="220" t="s">
        <v>0</v>
      </c>
      <c r="B16" s="220">
        <v>2021.0</v>
      </c>
      <c r="C16" s="220">
        <v>2020.0</v>
      </c>
      <c r="D16" s="220">
        <v>2019.0</v>
      </c>
      <c r="E16" s="220">
        <v>2018.0</v>
      </c>
      <c r="F16" s="220">
        <v>2017.0</v>
      </c>
    </row>
    <row r="17">
      <c r="A17" s="202" t="s">
        <v>219</v>
      </c>
      <c r="B17" s="152">
        <v>1477500.0</v>
      </c>
      <c r="C17" s="152">
        <v>1278700.0</v>
      </c>
      <c r="D17" s="152">
        <v>1149700.0</v>
      </c>
      <c r="E17" s="152">
        <v>1177700.0</v>
      </c>
      <c r="F17" s="152">
        <v>783000.0</v>
      </c>
    </row>
    <row r="18">
      <c r="A18" s="202" t="s">
        <v>238</v>
      </c>
      <c r="B18" s="152">
        <v>2757229.0</v>
      </c>
      <c r="C18" s="152">
        <v>2237883.0</v>
      </c>
      <c r="D18" s="152">
        <v>1744994.0</v>
      </c>
      <c r="E18" s="152">
        <v>1407266.0</v>
      </c>
      <c r="F18" s="152">
        <v>931565.0</v>
      </c>
    </row>
    <row r="19">
      <c r="A19" s="202" t="s">
        <v>239</v>
      </c>
      <c r="B19" s="152">
        <v>8971300.0</v>
      </c>
      <c r="C19" s="152">
        <v>8149700.0</v>
      </c>
      <c r="D19" s="152">
        <v>7986300.0</v>
      </c>
      <c r="E19" s="152">
        <v>7791069.0</v>
      </c>
      <c r="F19" s="152">
        <v>7515426.0</v>
      </c>
    </row>
    <row r="20">
      <c r="A20" s="202" t="s">
        <v>240</v>
      </c>
      <c r="B20" s="152">
        <v>9772038.0</v>
      </c>
      <c r="C20" s="152">
        <v>8636120.0</v>
      </c>
      <c r="D20" s="152">
        <v>7921707.5</v>
      </c>
      <c r="E20" s="152">
        <v>6628373.0</v>
      </c>
      <c r="F20" s="152">
        <v>5539029.5</v>
      </c>
    </row>
    <row r="21">
      <c r="A21" s="202" t="s">
        <v>241</v>
      </c>
      <c r="B21" s="152">
        <v>2497556.0</v>
      </c>
      <c r="C21" s="152">
        <v>1991438.5</v>
      </c>
      <c r="D21" s="152">
        <v>1576130.0</v>
      </c>
      <c r="E21" s="152">
        <v>1169415.5</v>
      </c>
      <c r="F21" s="152">
        <v>879626.0</v>
      </c>
    </row>
    <row r="22">
      <c r="A22" s="217" t="s">
        <v>242</v>
      </c>
      <c r="B22" s="41"/>
      <c r="C22" s="41"/>
      <c r="D22" s="41"/>
      <c r="E22" s="41"/>
      <c r="F22" s="41"/>
    </row>
    <row r="23">
      <c r="A23" s="218" t="s">
        <v>243</v>
      </c>
      <c r="B23" s="219">
        <f t="shared" ref="B23:F23" si="4">B17/B19</f>
        <v>0.1646918507</v>
      </c>
      <c r="C23" s="219">
        <f t="shared" si="4"/>
        <v>0.156901481</v>
      </c>
      <c r="D23" s="219">
        <f t="shared" si="4"/>
        <v>0.1439590298</v>
      </c>
      <c r="E23" s="219">
        <f t="shared" si="4"/>
        <v>0.151160258</v>
      </c>
      <c r="F23" s="219">
        <f t="shared" si="4"/>
        <v>0.1041857108</v>
      </c>
    </row>
    <row r="24">
      <c r="A24" s="218" t="s">
        <v>197</v>
      </c>
      <c r="B24" s="219">
        <f t="shared" ref="B24:F24" si="5">B19/B20</f>
        <v>0.9180582392</v>
      </c>
      <c r="C24" s="219">
        <f t="shared" si="5"/>
        <v>0.9436760953</v>
      </c>
      <c r="D24" s="219">
        <f t="shared" si="5"/>
        <v>1.008153861</v>
      </c>
      <c r="E24" s="219">
        <f t="shared" si="5"/>
        <v>1.175411975</v>
      </c>
      <c r="F24" s="219">
        <f t="shared" si="5"/>
        <v>1.356812777</v>
      </c>
    </row>
    <row r="25">
      <c r="A25" s="218" t="s">
        <v>244</v>
      </c>
      <c r="B25" s="219">
        <f t="shared" ref="B25:F25" si="6">B20/B21</f>
        <v>3.912640197</v>
      </c>
      <c r="C25" s="219">
        <f t="shared" si="6"/>
        <v>4.336624003</v>
      </c>
      <c r="D25" s="219">
        <f t="shared" si="6"/>
        <v>5.026049564</v>
      </c>
      <c r="E25" s="219">
        <f t="shared" si="6"/>
        <v>5.6681077</v>
      </c>
      <c r="F25" s="219">
        <f t="shared" si="6"/>
        <v>6.297027941</v>
      </c>
    </row>
  </sheetData>
  <mergeCells count="4">
    <mergeCell ref="A2:F2"/>
    <mergeCell ref="A9:F9"/>
    <mergeCell ref="A15:F15"/>
    <mergeCell ref="A22:F2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4" max="4" width="14.5"/>
    <col customWidth="1" min="7" max="7" width="25.75"/>
  </cols>
  <sheetData>
    <row r="1">
      <c r="A1" s="221" t="s">
        <v>245</v>
      </c>
      <c r="B1" s="221"/>
      <c r="C1" s="221"/>
      <c r="D1" s="221"/>
      <c r="E1" s="148"/>
      <c r="F1" s="163"/>
      <c r="G1" s="221"/>
      <c r="H1" s="148"/>
      <c r="I1" s="148"/>
      <c r="J1" s="148"/>
      <c r="K1" s="148"/>
      <c r="L1" s="148"/>
    </row>
    <row r="2">
      <c r="A2" s="146" t="s">
        <v>246</v>
      </c>
      <c r="F2" s="147"/>
      <c r="G2" s="146" t="s">
        <v>74</v>
      </c>
    </row>
    <row r="3">
      <c r="A3" s="149" t="s">
        <v>0</v>
      </c>
      <c r="B3" s="149">
        <v>2021.0</v>
      </c>
      <c r="C3" s="149">
        <v>2020.0</v>
      </c>
      <c r="D3" s="149">
        <v>2019.0</v>
      </c>
      <c r="E3" s="149">
        <v>2018.0</v>
      </c>
      <c r="F3" s="150">
        <v>2017.0</v>
      </c>
      <c r="G3" s="149" t="s">
        <v>0</v>
      </c>
      <c r="H3" s="149">
        <v>2021.0</v>
      </c>
      <c r="I3" s="149">
        <v>2020.0</v>
      </c>
      <c r="J3" s="149">
        <v>2019.0</v>
      </c>
      <c r="K3" s="149">
        <v>2018.0</v>
      </c>
      <c r="L3" s="149">
        <v>2017.0</v>
      </c>
    </row>
    <row r="4">
      <c r="A4" s="151" t="s">
        <v>247</v>
      </c>
      <c r="B4" s="222">
        <v>1485700.0</v>
      </c>
      <c r="C4" s="222">
        <v>1280300.0</v>
      </c>
      <c r="D4" s="222">
        <v>1689700.0</v>
      </c>
      <c r="E4" s="222">
        <v>1028100.0</v>
      </c>
      <c r="F4" s="223">
        <v>1049800.0</v>
      </c>
      <c r="G4" s="158" t="s">
        <v>247</v>
      </c>
      <c r="H4" s="222">
        <v>2493313.0</v>
      </c>
      <c r="I4" s="222">
        <v>1891745.0</v>
      </c>
      <c r="J4" s="222">
        <v>2008793.0</v>
      </c>
      <c r="K4" s="222">
        <v>2418566.0</v>
      </c>
      <c r="L4" s="222">
        <v>2076543.0</v>
      </c>
    </row>
    <row r="5">
      <c r="A5" s="151" t="s">
        <v>248</v>
      </c>
      <c r="B5" s="222">
        <v>3024800.0</v>
      </c>
      <c r="C5" s="222">
        <v>2953900.0</v>
      </c>
      <c r="D5" s="222">
        <v>2975700.0</v>
      </c>
      <c r="E5" s="222">
        <v>2933000.0</v>
      </c>
      <c r="F5" s="223">
        <v>2781100.0</v>
      </c>
      <c r="G5" s="158" t="s">
        <v>248</v>
      </c>
      <c r="H5" s="222">
        <v>2246206.0</v>
      </c>
      <c r="I5" s="222">
        <v>2977905.0</v>
      </c>
      <c r="J5" s="222">
        <v>2117102.0</v>
      </c>
      <c r="K5" s="222">
        <v>2239181.0</v>
      </c>
      <c r="L5" s="222">
        <v>2001910.0</v>
      </c>
    </row>
    <row r="6">
      <c r="A6" s="151" t="s">
        <v>13</v>
      </c>
      <c r="B6" s="222">
        <v>8956100.0</v>
      </c>
      <c r="C6" s="222">
        <v>8051000.0</v>
      </c>
      <c r="D6" s="222">
        <v>8040800.0</v>
      </c>
      <c r="E6" s="222">
        <v>7249800.0</v>
      </c>
      <c r="F6" s="223">
        <v>6975600.0</v>
      </c>
      <c r="G6" s="158" t="s">
        <v>13</v>
      </c>
      <c r="H6" s="222">
        <v>1.0412231E7</v>
      </c>
      <c r="I6" s="222">
        <v>9131845.0</v>
      </c>
      <c r="J6" s="222">
        <v>8140395.0</v>
      </c>
      <c r="K6" s="222">
        <v>7703020.0</v>
      </c>
      <c r="L6" s="224">
        <v>5553726.0</v>
      </c>
    </row>
    <row r="7">
      <c r="A7" s="151" t="s">
        <v>32</v>
      </c>
      <c r="B7" s="222">
        <v>5660000.0</v>
      </c>
      <c r="C7" s="222">
        <v>4603500.0</v>
      </c>
      <c r="D7" s="222">
        <v>5034700.0</v>
      </c>
      <c r="E7" s="222">
        <v>4655400.0</v>
      </c>
      <c r="F7" s="223">
        <v>4246200.0</v>
      </c>
      <c r="G7" s="158" t="s">
        <v>32</v>
      </c>
      <c r="H7" s="222">
        <v>2719936.0</v>
      </c>
      <c r="I7" s="222">
        <v>1928673.0</v>
      </c>
      <c r="J7" s="222">
        <v>1290461.0</v>
      </c>
      <c r="K7" s="222">
        <v>703202.0</v>
      </c>
      <c r="L7" s="222">
        <v>6371082.0</v>
      </c>
    </row>
    <row r="8">
      <c r="A8" s="151" t="s">
        <v>215</v>
      </c>
      <c r="B8" s="222">
        <v>644900.0</v>
      </c>
      <c r="C8" s="222">
        <v>420300.0</v>
      </c>
      <c r="D8" s="222">
        <v>593000.0</v>
      </c>
      <c r="E8" s="222">
        <v>636700.0</v>
      </c>
      <c r="F8" s="223">
        <v>595400.0</v>
      </c>
      <c r="G8" s="158" t="s">
        <v>215</v>
      </c>
      <c r="H8" s="222">
        <v>5232527.0</v>
      </c>
      <c r="I8" s="222">
        <v>4428917.0</v>
      </c>
      <c r="J8" s="222">
        <v>3536541.0</v>
      </c>
      <c r="K8" s="222">
        <v>3215117.0</v>
      </c>
      <c r="L8" s="222">
        <v>1202186.0</v>
      </c>
    </row>
    <row r="9">
      <c r="A9" s="151" t="s">
        <v>249</v>
      </c>
      <c r="B9" s="222">
        <v>5223600.0</v>
      </c>
      <c r="C9" s="222">
        <v>4606300.0</v>
      </c>
      <c r="D9" s="222">
        <v>4670200.0</v>
      </c>
      <c r="E9" s="222">
        <v>4486400.0</v>
      </c>
      <c r="F9" s="223">
        <v>4195000.0</v>
      </c>
      <c r="G9" s="158" t="s">
        <v>249</v>
      </c>
      <c r="H9" s="222">
        <v>2757229.0</v>
      </c>
      <c r="I9" s="222">
        <v>2237883.0</v>
      </c>
      <c r="J9" s="222">
        <v>1744994.0</v>
      </c>
      <c r="K9" s="222">
        <v>1407266.0</v>
      </c>
      <c r="L9" s="222">
        <v>931565.0</v>
      </c>
    </row>
    <row r="10">
      <c r="A10" s="151" t="s">
        <v>24</v>
      </c>
      <c r="B10" s="222">
        <v>3732500.0</v>
      </c>
      <c r="C10" s="222">
        <v>3444700.0</v>
      </c>
      <c r="D10" s="222">
        <v>3370600.0</v>
      </c>
      <c r="E10" s="222">
        <v>2763400.0</v>
      </c>
      <c r="F10" s="223">
        <v>2780600.0</v>
      </c>
      <c r="G10" s="158" t="s">
        <v>24</v>
      </c>
      <c r="H10" s="222">
        <v>7655002.0</v>
      </c>
      <c r="I10" s="222">
        <v>6893962.0</v>
      </c>
      <c r="J10" s="222">
        <v>6395401.0</v>
      </c>
      <c r="K10" s="222">
        <v>6295754.0</v>
      </c>
      <c r="L10" s="222">
        <v>4622161.0</v>
      </c>
    </row>
    <row r="11">
      <c r="A11" s="151" t="s">
        <v>192</v>
      </c>
      <c r="B11" s="222">
        <v>4585500.0</v>
      </c>
      <c r="C11" s="222">
        <v>4016800.0</v>
      </c>
      <c r="D11" s="222">
        <v>4509000.0</v>
      </c>
      <c r="E11" s="222">
        <v>4313200.0</v>
      </c>
      <c r="F11" s="223">
        <v>4088400.0</v>
      </c>
      <c r="G11" s="158" t="s">
        <v>192</v>
      </c>
      <c r="H11" s="222">
        <v>8956100.0</v>
      </c>
      <c r="I11" s="222">
        <v>8051000.0</v>
      </c>
      <c r="J11" s="222">
        <v>8040800.0</v>
      </c>
      <c r="K11" s="222">
        <v>7249800.0</v>
      </c>
      <c r="L11" s="222">
        <v>6975600.0</v>
      </c>
    </row>
    <row r="12" ht="15.75" customHeight="1">
      <c r="A12" s="225" t="s">
        <v>250</v>
      </c>
      <c r="B12" s="226">
        <f t="shared" ref="B12:F12" si="1">1.2*((B4-B5)/B6)+1.4*(B7/B6)+3.3*(B8/B6)+0.6*(B9/B10)+1*(B11/B6)</f>
        <v>2.26785527</v>
      </c>
      <c r="C12" s="226">
        <f t="shared" si="1"/>
        <v>2.024582593</v>
      </c>
      <c r="D12" s="226">
        <f t="shared" si="1"/>
        <v>2.320158634</v>
      </c>
      <c r="E12" s="226">
        <f t="shared" si="1"/>
        <v>2.442557287</v>
      </c>
      <c r="F12" s="227">
        <f t="shared" si="1"/>
        <v>2.327348949</v>
      </c>
      <c r="G12" s="161" t="s">
        <v>250</v>
      </c>
      <c r="H12" s="159">
        <f t="shared" ref="H12:L12" si="2">1.2*((H4-H5)/H6)+1.4*(H7/H6)+3.3*(H8/H6)+0.6*(H9/H10)+1*(H11/H6)</f>
        <v>3.128828532</v>
      </c>
      <c r="I12" s="159">
        <f t="shared" si="2"/>
        <v>2.829852701</v>
      </c>
      <c r="J12" s="159">
        <f t="shared" si="2"/>
        <v>2.791109119</v>
      </c>
      <c r="K12" s="159">
        <f t="shared" si="2"/>
        <v>2.608396057</v>
      </c>
      <c r="L12" s="159">
        <f t="shared" si="2"/>
        <v>3.71344887</v>
      </c>
    </row>
    <row r="13" ht="14.25" customHeight="1">
      <c r="A13" s="228" t="s">
        <v>251</v>
      </c>
      <c r="B13" s="229">
        <f>(B12+C12+D12+E12+F12)/5</f>
        <v>2.276500546</v>
      </c>
      <c r="F13" s="147"/>
      <c r="G13" s="230" t="s">
        <v>251</v>
      </c>
      <c r="H13" s="231">
        <f>(H12+I12+J12+K12+L12)/5</f>
        <v>3.014327056</v>
      </c>
    </row>
    <row r="14">
      <c r="F14" s="81"/>
    </row>
  </sheetData>
  <mergeCells count="4">
    <mergeCell ref="A2:F2"/>
    <mergeCell ref="G2:L2"/>
    <mergeCell ref="B13:F13"/>
    <mergeCell ref="H13:L1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6.0"/>
  </cols>
  <sheetData>
    <row r="1">
      <c r="A1" s="84"/>
      <c r="B1" s="232" t="s">
        <v>73</v>
      </c>
      <c r="C1" s="147"/>
      <c r="D1" s="133" t="s">
        <v>252</v>
      </c>
    </row>
    <row r="2">
      <c r="A2" s="134" t="s">
        <v>75</v>
      </c>
      <c r="B2" s="233">
        <v>2021.0</v>
      </c>
      <c r="C2" s="234" t="s">
        <v>253</v>
      </c>
      <c r="D2" s="233">
        <v>2021.0</v>
      </c>
      <c r="E2" s="233" t="s">
        <v>253</v>
      </c>
    </row>
    <row r="3">
      <c r="B3" s="235" t="s">
        <v>76</v>
      </c>
      <c r="C3" s="236"/>
      <c r="D3" s="235" t="s">
        <v>76</v>
      </c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</row>
    <row r="4">
      <c r="A4" s="238" t="s">
        <v>254</v>
      </c>
      <c r="C4" s="81"/>
    </row>
    <row r="5">
      <c r="A5" s="84" t="s">
        <v>255</v>
      </c>
      <c r="B5" s="239">
        <f>'Ratios - Summary'!B8</f>
        <v>0.05476714195</v>
      </c>
      <c r="C5" s="140">
        <v>1.0</v>
      </c>
      <c r="D5" s="239">
        <f>'Ratios - Summary'!G8</f>
        <v>0.1424112661</v>
      </c>
      <c r="E5" s="117">
        <v>1.0</v>
      </c>
    </row>
    <row r="6">
      <c r="A6" s="84" t="s">
        <v>256</v>
      </c>
      <c r="B6" s="117">
        <f>826.8*1000</f>
        <v>826800</v>
      </c>
      <c r="C6" s="140">
        <v>1.0</v>
      </c>
      <c r="D6" s="141">
        <v>2082884.0</v>
      </c>
      <c r="E6" s="117">
        <v>1.0</v>
      </c>
    </row>
    <row r="7">
      <c r="A7" s="84" t="s">
        <v>257</v>
      </c>
      <c r="B7" s="239">
        <f>'Ratios - Summary'!B8-'Ratios - Summary'!C8</f>
        <v>0.0150081058</v>
      </c>
      <c r="C7" s="140">
        <v>1.0</v>
      </c>
      <c r="D7" s="239">
        <f>'Ratios - Summary'!G8-'Ratios - Summary'!H8</f>
        <v>0.002744747485</v>
      </c>
      <c r="E7" s="117">
        <v>1.0</v>
      </c>
    </row>
    <row r="8">
      <c r="A8" s="84" t="s">
        <v>258</v>
      </c>
      <c r="B8" s="239">
        <f>(B6/'Balance Sheet'!B15)-B5</f>
        <v>0.03754982638</v>
      </c>
      <c r="C8" s="140">
        <v>1.0</v>
      </c>
      <c r="D8" s="239">
        <f>(B6/'Balance Sheet'!G15)-B5</f>
        <v>0.02463947129</v>
      </c>
      <c r="E8" s="117">
        <v>1.0</v>
      </c>
    </row>
    <row r="9">
      <c r="A9" s="238" t="s">
        <v>259</v>
      </c>
      <c r="C9" s="81"/>
    </row>
    <row r="10">
      <c r="A10" s="84" t="s">
        <v>260</v>
      </c>
      <c r="B10" s="118">
        <f>'Ratios - Summary'!B20-'Ratios - Summary'!C20</f>
        <v>-0.04</v>
      </c>
      <c r="C10" s="81"/>
    </row>
    <row r="11">
      <c r="A11" s="84" t="s">
        <v>261</v>
      </c>
      <c r="B11" s="142">
        <f>'Ratios - Summary'!B9-'Ratios - Summary'!C9</f>
        <v>-0.2712509732</v>
      </c>
      <c r="C11" s="140">
        <v>0.0</v>
      </c>
      <c r="D11" s="142">
        <f>'Ratios - Summary'!G9-'Ratios - Summary'!H9</f>
        <v>-0.6732656159</v>
      </c>
      <c r="E11" s="117">
        <v>0.0</v>
      </c>
    </row>
    <row r="12">
      <c r="A12" s="84" t="s">
        <v>262</v>
      </c>
      <c r="C12" s="81"/>
    </row>
    <row r="13">
      <c r="A13" s="238" t="s">
        <v>263</v>
      </c>
      <c r="C13" s="81"/>
    </row>
    <row r="14">
      <c r="A14" s="84" t="s">
        <v>264</v>
      </c>
      <c r="B14" s="239">
        <f>'Ratios - Summary'!B5-'Ratios - Summary'!C5</f>
        <v>0.02880406581</v>
      </c>
      <c r="C14" s="140">
        <v>1.0</v>
      </c>
      <c r="D14" s="239">
        <f>'Ratios - Summary'!G5-'Ratios - Summary'!H5</f>
        <v>-0.002877640953</v>
      </c>
      <c r="E14" s="117">
        <v>0.0</v>
      </c>
    </row>
    <row r="15">
      <c r="A15" s="84" t="s">
        <v>265</v>
      </c>
      <c r="B15" s="142">
        <f>'Ratios - Summary'!B17-'Ratios - Summary'!C17</f>
        <v>0.01382658958</v>
      </c>
      <c r="C15" s="140">
        <v>1.0</v>
      </c>
      <c r="D15" s="142">
        <f>'Ratios - Summary'!G17-'Ratios - Summary'!H17</f>
        <v>-0.03083518188</v>
      </c>
      <c r="E15" s="117">
        <v>0.0</v>
      </c>
    </row>
    <row r="16">
      <c r="A16" s="84"/>
      <c r="C16" s="81"/>
    </row>
    <row r="17">
      <c r="A17" s="238" t="s">
        <v>266</v>
      </c>
      <c r="B17" s="63"/>
      <c r="C17" s="82">
        <f>SUM(C5:C15)</f>
        <v>6</v>
      </c>
      <c r="D17" s="63"/>
      <c r="E17" s="63">
        <f>SUM(E5:E15)</f>
        <v>4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84"/>
      <c r="C18" s="81"/>
    </row>
    <row r="19">
      <c r="A19" s="84"/>
      <c r="C19" s="81"/>
    </row>
    <row r="20">
      <c r="A20" s="84"/>
      <c r="C20" s="81"/>
    </row>
    <row r="21">
      <c r="A21" s="84"/>
      <c r="C21" s="81"/>
    </row>
    <row r="22">
      <c r="A22" s="84"/>
      <c r="C22" s="81"/>
    </row>
    <row r="23">
      <c r="A23" s="84"/>
      <c r="C23" s="81"/>
    </row>
    <row r="24">
      <c r="A24" s="84"/>
      <c r="C24" s="81"/>
    </row>
    <row r="25">
      <c r="A25" s="84"/>
      <c r="C25" s="81"/>
    </row>
    <row r="26">
      <c r="A26" s="84"/>
      <c r="C26" s="81"/>
    </row>
    <row r="27">
      <c r="A27" s="84"/>
      <c r="C27" s="81"/>
    </row>
    <row r="28">
      <c r="A28" s="84"/>
      <c r="C28" s="81"/>
    </row>
    <row r="29">
      <c r="A29" s="84"/>
      <c r="C29" s="81"/>
    </row>
    <row r="30">
      <c r="A30" s="84"/>
      <c r="C30" s="81"/>
    </row>
    <row r="31">
      <c r="A31" s="84"/>
      <c r="C31" s="81"/>
    </row>
    <row r="32">
      <c r="A32" s="84"/>
      <c r="C32" s="81"/>
    </row>
    <row r="33">
      <c r="A33" s="84"/>
      <c r="C33" s="81"/>
    </row>
    <row r="34">
      <c r="A34" s="84"/>
      <c r="C34" s="81"/>
    </row>
    <row r="35">
      <c r="A35" s="84"/>
      <c r="C35" s="81"/>
    </row>
    <row r="36">
      <c r="A36" s="84"/>
      <c r="C36" s="81"/>
    </row>
    <row r="37">
      <c r="A37" s="84"/>
      <c r="C37" s="81"/>
    </row>
    <row r="38">
      <c r="A38" s="84"/>
      <c r="C38" s="81"/>
    </row>
    <row r="39">
      <c r="A39" s="84"/>
      <c r="C39" s="81"/>
    </row>
    <row r="40">
      <c r="A40" s="84"/>
      <c r="C40" s="81"/>
    </row>
    <row r="41">
      <c r="A41" s="84"/>
      <c r="C41" s="81"/>
    </row>
    <row r="42">
      <c r="A42" s="84"/>
      <c r="C42" s="81"/>
    </row>
    <row r="43">
      <c r="A43" s="84"/>
      <c r="C43" s="81"/>
    </row>
    <row r="44">
      <c r="A44" s="84"/>
      <c r="C44" s="81"/>
    </row>
    <row r="45">
      <c r="A45" s="84"/>
      <c r="C45" s="81"/>
    </row>
    <row r="46">
      <c r="A46" s="84"/>
      <c r="C46" s="81"/>
    </row>
    <row r="47">
      <c r="A47" s="84"/>
      <c r="C47" s="81"/>
    </row>
    <row r="48">
      <c r="A48" s="84"/>
      <c r="C48" s="81"/>
    </row>
    <row r="49">
      <c r="A49" s="84"/>
      <c r="C49" s="81"/>
    </row>
    <row r="50">
      <c r="A50" s="84"/>
      <c r="C50" s="81"/>
    </row>
    <row r="51">
      <c r="A51" s="84"/>
      <c r="C51" s="81"/>
    </row>
    <row r="52">
      <c r="A52" s="84"/>
      <c r="C52" s="81"/>
    </row>
    <row r="53">
      <c r="A53" s="84"/>
      <c r="C53" s="81"/>
    </row>
    <row r="54">
      <c r="A54" s="84"/>
      <c r="C54" s="81"/>
    </row>
    <row r="55">
      <c r="A55" s="84"/>
      <c r="C55" s="81"/>
    </row>
    <row r="56">
      <c r="A56" s="84"/>
      <c r="C56" s="81"/>
    </row>
    <row r="57">
      <c r="A57" s="84"/>
      <c r="C57" s="81"/>
    </row>
    <row r="58">
      <c r="A58" s="84"/>
      <c r="C58" s="81"/>
    </row>
    <row r="59">
      <c r="A59" s="84"/>
      <c r="C59" s="81"/>
    </row>
    <row r="60">
      <c r="A60" s="84"/>
      <c r="C60" s="81"/>
    </row>
    <row r="61">
      <c r="A61" s="84"/>
      <c r="C61" s="81"/>
    </row>
    <row r="62">
      <c r="A62" s="84"/>
      <c r="C62" s="81"/>
    </row>
    <row r="63">
      <c r="A63" s="84"/>
      <c r="C63" s="81"/>
    </row>
    <row r="64">
      <c r="A64" s="84"/>
      <c r="C64" s="81"/>
    </row>
    <row r="65">
      <c r="A65" s="84"/>
      <c r="C65" s="81"/>
    </row>
    <row r="66">
      <c r="A66" s="84"/>
      <c r="C66" s="81"/>
    </row>
    <row r="67">
      <c r="A67" s="84"/>
      <c r="C67" s="81"/>
    </row>
    <row r="68">
      <c r="A68" s="84"/>
      <c r="C68" s="81"/>
    </row>
    <row r="69">
      <c r="A69" s="84"/>
      <c r="C69" s="81"/>
    </row>
    <row r="70">
      <c r="A70" s="84"/>
      <c r="C70" s="81"/>
    </row>
    <row r="71">
      <c r="A71" s="84"/>
      <c r="C71" s="81"/>
    </row>
    <row r="72">
      <c r="A72" s="84"/>
      <c r="C72" s="81"/>
    </row>
    <row r="73">
      <c r="A73" s="84"/>
      <c r="C73" s="81"/>
    </row>
    <row r="74">
      <c r="A74" s="84"/>
      <c r="C74" s="81"/>
    </row>
    <row r="75">
      <c r="A75" s="84"/>
      <c r="C75" s="81"/>
    </row>
    <row r="76">
      <c r="A76" s="84"/>
      <c r="C76" s="81"/>
    </row>
    <row r="77">
      <c r="A77" s="84"/>
      <c r="C77" s="81"/>
    </row>
    <row r="78">
      <c r="A78" s="84"/>
      <c r="C78" s="81"/>
    </row>
    <row r="79">
      <c r="A79" s="84"/>
      <c r="C79" s="81"/>
    </row>
    <row r="80">
      <c r="A80" s="84"/>
      <c r="C80" s="81"/>
    </row>
    <row r="81">
      <c r="A81" s="84"/>
      <c r="C81" s="81"/>
    </row>
    <row r="82">
      <c r="A82" s="84"/>
      <c r="C82" s="81"/>
    </row>
    <row r="83">
      <c r="A83" s="84"/>
      <c r="C83" s="81"/>
    </row>
    <row r="84">
      <c r="A84" s="84"/>
      <c r="C84" s="81"/>
    </row>
    <row r="85">
      <c r="A85" s="84"/>
      <c r="C85" s="81"/>
    </row>
    <row r="86">
      <c r="A86" s="84"/>
      <c r="C86" s="81"/>
    </row>
    <row r="87">
      <c r="A87" s="84"/>
      <c r="C87" s="81"/>
    </row>
    <row r="88">
      <c r="A88" s="84"/>
      <c r="C88" s="81"/>
    </row>
    <row r="89">
      <c r="A89" s="84"/>
      <c r="C89" s="81"/>
    </row>
    <row r="90">
      <c r="A90" s="84"/>
      <c r="C90" s="81"/>
    </row>
    <row r="91">
      <c r="A91" s="84"/>
      <c r="C91" s="81"/>
    </row>
    <row r="92">
      <c r="A92" s="84"/>
      <c r="C92" s="81"/>
    </row>
    <row r="93">
      <c r="A93" s="84"/>
      <c r="C93" s="81"/>
    </row>
    <row r="94">
      <c r="A94" s="84"/>
      <c r="C94" s="81"/>
    </row>
    <row r="95">
      <c r="A95" s="84"/>
      <c r="C95" s="81"/>
    </row>
    <row r="96">
      <c r="A96" s="84"/>
      <c r="C96" s="81"/>
    </row>
    <row r="97">
      <c r="A97" s="84"/>
      <c r="C97" s="81"/>
    </row>
    <row r="98">
      <c r="A98" s="84"/>
      <c r="C98" s="81"/>
    </row>
    <row r="99">
      <c r="A99" s="84"/>
      <c r="C99" s="81"/>
    </row>
    <row r="100">
      <c r="A100" s="84"/>
      <c r="C100" s="81"/>
    </row>
    <row r="101">
      <c r="A101" s="84"/>
      <c r="C101" s="81"/>
    </row>
    <row r="102">
      <c r="A102" s="84"/>
      <c r="C102" s="81"/>
    </row>
    <row r="103">
      <c r="A103" s="84"/>
      <c r="C103" s="81"/>
    </row>
    <row r="104">
      <c r="A104" s="84"/>
      <c r="C104" s="81"/>
    </row>
    <row r="105">
      <c r="A105" s="84"/>
      <c r="C105" s="81"/>
    </row>
    <row r="106">
      <c r="A106" s="84"/>
      <c r="C106" s="81"/>
    </row>
    <row r="107">
      <c r="A107" s="84"/>
      <c r="C107" s="81"/>
    </row>
    <row r="108">
      <c r="A108" s="84"/>
      <c r="C108" s="81"/>
    </row>
    <row r="109">
      <c r="A109" s="84"/>
      <c r="C109" s="81"/>
    </row>
    <row r="110">
      <c r="A110" s="84"/>
      <c r="C110" s="81"/>
    </row>
    <row r="111">
      <c r="A111" s="84"/>
      <c r="C111" s="81"/>
    </row>
    <row r="112">
      <c r="A112" s="84"/>
      <c r="C112" s="81"/>
    </row>
    <row r="113">
      <c r="A113" s="84"/>
      <c r="C113" s="81"/>
    </row>
    <row r="114">
      <c r="A114" s="84"/>
      <c r="C114" s="81"/>
    </row>
    <row r="115">
      <c r="A115" s="84"/>
      <c r="C115" s="81"/>
    </row>
    <row r="116">
      <c r="A116" s="84"/>
      <c r="C116" s="81"/>
    </row>
    <row r="117">
      <c r="A117" s="84"/>
      <c r="C117" s="81"/>
    </row>
    <row r="118">
      <c r="A118" s="84"/>
      <c r="C118" s="81"/>
    </row>
    <row r="119">
      <c r="A119" s="84"/>
      <c r="C119" s="81"/>
    </row>
    <row r="120">
      <c r="A120" s="84"/>
      <c r="C120" s="81"/>
    </row>
    <row r="121">
      <c r="A121" s="84"/>
      <c r="C121" s="81"/>
    </row>
    <row r="122">
      <c r="A122" s="84"/>
      <c r="C122" s="81"/>
    </row>
    <row r="123">
      <c r="A123" s="84"/>
      <c r="C123" s="81"/>
    </row>
    <row r="124">
      <c r="A124" s="84"/>
      <c r="C124" s="81"/>
    </row>
    <row r="125">
      <c r="A125" s="84"/>
      <c r="C125" s="81"/>
    </row>
    <row r="126">
      <c r="A126" s="84"/>
      <c r="C126" s="81"/>
    </row>
    <row r="127">
      <c r="A127" s="84"/>
      <c r="C127" s="81"/>
    </row>
    <row r="128">
      <c r="A128" s="84"/>
      <c r="C128" s="81"/>
    </row>
    <row r="129">
      <c r="A129" s="84"/>
      <c r="C129" s="81"/>
    </row>
    <row r="130">
      <c r="A130" s="84"/>
      <c r="C130" s="81"/>
    </row>
    <row r="131">
      <c r="A131" s="84"/>
      <c r="C131" s="81"/>
    </row>
    <row r="132">
      <c r="A132" s="84"/>
      <c r="C132" s="81"/>
    </row>
    <row r="133">
      <c r="A133" s="84"/>
      <c r="C133" s="81"/>
    </row>
    <row r="134">
      <c r="A134" s="84"/>
      <c r="C134" s="81"/>
    </row>
    <row r="135">
      <c r="A135" s="84"/>
      <c r="C135" s="81"/>
    </row>
    <row r="136">
      <c r="A136" s="84"/>
      <c r="C136" s="81"/>
    </row>
    <row r="137">
      <c r="A137" s="84"/>
      <c r="C137" s="81"/>
    </row>
    <row r="138">
      <c r="A138" s="84"/>
      <c r="C138" s="81"/>
    </row>
    <row r="139">
      <c r="A139" s="84"/>
      <c r="C139" s="81"/>
    </row>
    <row r="140">
      <c r="A140" s="84"/>
      <c r="C140" s="81"/>
    </row>
    <row r="141">
      <c r="A141" s="84"/>
      <c r="C141" s="81"/>
    </row>
    <row r="142">
      <c r="A142" s="84"/>
      <c r="C142" s="81"/>
    </row>
    <row r="143">
      <c r="A143" s="84"/>
      <c r="C143" s="81"/>
    </row>
    <row r="144">
      <c r="A144" s="84"/>
      <c r="C144" s="81"/>
    </row>
    <row r="145">
      <c r="A145" s="84"/>
      <c r="C145" s="81"/>
    </row>
    <row r="146">
      <c r="A146" s="84"/>
      <c r="C146" s="81"/>
    </row>
    <row r="147">
      <c r="A147" s="84"/>
      <c r="C147" s="81"/>
    </row>
    <row r="148">
      <c r="A148" s="84"/>
      <c r="C148" s="81"/>
    </row>
    <row r="149">
      <c r="A149" s="84"/>
      <c r="C149" s="81"/>
    </row>
    <row r="150">
      <c r="A150" s="84"/>
      <c r="C150" s="81"/>
    </row>
    <row r="151">
      <c r="A151" s="84"/>
      <c r="C151" s="81"/>
    </row>
    <row r="152">
      <c r="A152" s="84"/>
      <c r="C152" s="81"/>
    </row>
    <row r="153">
      <c r="A153" s="84"/>
      <c r="C153" s="81"/>
    </row>
    <row r="154">
      <c r="A154" s="84"/>
      <c r="C154" s="81"/>
    </row>
    <row r="155">
      <c r="A155" s="84"/>
      <c r="C155" s="81"/>
    </row>
    <row r="156">
      <c r="A156" s="84"/>
      <c r="C156" s="81"/>
    </row>
    <row r="157">
      <c r="A157" s="84"/>
      <c r="C157" s="81"/>
    </row>
    <row r="158">
      <c r="A158" s="84"/>
      <c r="C158" s="81"/>
    </row>
    <row r="159">
      <c r="A159" s="84"/>
      <c r="C159" s="81"/>
    </row>
    <row r="160">
      <c r="A160" s="84"/>
      <c r="C160" s="81"/>
    </row>
    <row r="161">
      <c r="A161" s="84"/>
      <c r="C161" s="81"/>
    </row>
    <row r="162">
      <c r="A162" s="84"/>
      <c r="C162" s="81"/>
    </row>
    <row r="163">
      <c r="A163" s="84"/>
      <c r="C163" s="81"/>
    </row>
    <row r="164">
      <c r="A164" s="84"/>
      <c r="C164" s="81"/>
    </row>
    <row r="165">
      <c r="A165" s="84"/>
      <c r="C165" s="81"/>
    </row>
    <row r="166">
      <c r="A166" s="84"/>
      <c r="C166" s="81"/>
    </row>
    <row r="167">
      <c r="A167" s="84"/>
      <c r="C167" s="81"/>
    </row>
    <row r="168">
      <c r="A168" s="84"/>
      <c r="C168" s="81"/>
    </row>
    <row r="169">
      <c r="A169" s="84"/>
      <c r="C169" s="81"/>
    </row>
    <row r="170">
      <c r="A170" s="84"/>
      <c r="C170" s="81"/>
    </row>
    <row r="171">
      <c r="A171" s="84"/>
      <c r="C171" s="81"/>
    </row>
    <row r="172">
      <c r="A172" s="84"/>
      <c r="C172" s="81"/>
    </row>
    <row r="173">
      <c r="A173" s="84"/>
      <c r="C173" s="81"/>
    </row>
    <row r="174">
      <c r="A174" s="84"/>
      <c r="C174" s="81"/>
    </row>
    <row r="175">
      <c r="A175" s="84"/>
      <c r="C175" s="81"/>
    </row>
    <row r="176">
      <c r="A176" s="84"/>
      <c r="C176" s="81"/>
    </row>
    <row r="177">
      <c r="A177" s="84"/>
      <c r="C177" s="81"/>
    </row>
    <row r="178">
      <c r="A178" s="84"/>
      <c r="C178" s="81"/>
    </row>
    <row r="179">
      <c r="A179" s="84"/>
      <c r="C179" s="81"/>
    </row>
    <row r="180">
      <c r="A180" s="84"/>
      <c r="C180" s="81"/>
    </row>
    <row r="181">
      <c r="A181" s="84"/>
      <c r="C181" s="81"/>
    </row>
    <row r="182">
      <c r="A182" s="84"/>
      <c r="C182" s="81"/>
    </row>
    <row r="183">
      <c r="A183" s="84"/>
      <c r="C183" s="81"/>
    </row>
    <row r="184">
      <c r="A184" s="84"/>
      <c r="C184" s="81"/>
    </row>
    <row r="185">
      <c r="A185" s="84"/>
      <c r="C185" s="81"/>
    </row>
    <row r="186">
      <c r="A186" s="84"/>
      <c r="C186" s="81"/>
    </row>
    <row r="187">
      <c r="A187" s="84"/>
      <c r="C187" s="81"/>
    </row>
    <row r="188">
      <c r="A188" s="84"/>
      <c r="C188" s="81"/>
    </row>
    <row r="189">
      <c r="A189" s="84"/>
      <c r="C189" s="81"/>
    </row>
    <row r="190">
      <c r="A190" s="84"/>
      <c r="C190" s="81"/>
    </row>
    <row r="191">
      <c r="A191" s="84"/>
      <c r="C191" s="81"/>
    </row>
    <row r="192">
      <c r="A192" s="84"/>
      <c r="C192" s="81"/>
    </row>
    <row r="193">
      <c r="A193" s="84"/>
      <c r="C193" s="81"/>
    </row>
    <row r="194">
      <c r="A194" s="84"/>
      <c r="C194" s="81"/>
    </row>
    <row r="195">
      <c r="A195" s="84"/>
      <c r="C195" s="81"/>
    </row>
    <row r="196">
      <c r="A196" s="84"/>
      <c r="C196" s="81"/>
    </row>
    <row r="197">
      <c r="A197" s="84"/>
      <c r="C197" s="81"/>
    </row>
    <row r="198">
      <c r="A198" s="84"/>
      <c r="C198" s="81"/>
    </row>
    <row r="199">
      <c r="A199" s="84"/>
      <c r="C199" s="81"/>
    </row>
    <row r="200">
      <c r="A200" s="84"/>
      <c r="C200" s="81"/>
    </row>
    <row r="201">
      <c r="A201" s="84"/>
      <c r="C201" s="81"/>
    </row>
    <row r="202">
      <c r="A202" s="84"/>
      <c r="C202" s="81"/>
    </row>
    <row r="203">
      <c r="A203" s="84"/>
      <c r="C203" s="81"/>
    </row>
    <row r="204">
      <c r="A204" s="84"/>
      <c r="C204" s="81"/>
    </row>
    <row r="205">
      <c r="A205" s="84"/>
      <c r="C205" s="81"/>
    </row>
    <row r="206">
      <c r="A206" s="84"/>
      <c r="C206" s="81"/>
    </row>
    <row r="207">
      <c r="A207" s="84"/>
      <c r="C207" s="81"/>
    </row>
    <row r="208">
      <c r="A208" s="84"/>
      <c r="C208" s="81"/>
    </row>
    <row r="209">
      <c r="A209" s="84"/>
      <c r="C209" s="81"/>
    </row>
    <row r="210">
      <c r="A210" s="84"/>
      <c r="C210" s="81"/>
    </row>
    <row r="211">
      <c r="A211" s="84"/>
      <c r="C211" s="81"/>
    </row>
    <row r="212">
      <c r="A212" s="84"/>
      <c r="C212" s="81"/>
    </row>
    <row r="213">
      <c r="A213" s="84"/>
      <c r="C213" s="81"/>
    </row>
    <row r="214">
      <c r="A214" s="84"/>
      <c r="C214" s="81"/>
    </row>
    <row r="215">
      <c r="A215" s="84"/>
      <c r="C215" s="81"/>
    </row>
    <row r="216">
      <c r="A216" s="84"/>
      <c r="C216" s="81"/>
    </row>
    <row r="217">
      <c r="A217" s="84"/>
      <c r="C217" s="81"/>
    </row>
    <row r="218">
      <c r="A218" s="84"/>
      <c r="C218" s="81"/>
    </row>
    <row r="219">
      <c r="A219" s="84"/>
      <c r="C219" s="81"/>
    </row>
    <row r="220">
      <c r="A220" s="84"/>
      <c r="C220" s="81"/>
    </row>
    <row r="221">
      <c r="A221" s="84"/>
      <c r="C221" s="81"/>
    </row>
    <row r="222">
      <c r="A222" s="84"/>
      <c r="C222" s="81"/>
    </row>
    <row r="223">
      <c r="A223" s="84"/>
      <c r="C223" s="81"/>
    </row>
    <row r="224">
      <c r="A224" s="84"/>
      <c r="C224" s="81"/>
    </row>
    <row r="225">
      <c r="A225" s="84"/>
      <c r="C225" s="81"/>
    </row>
    <row r="226">
      <c r="A226" s="84"/>
      <c r="C226" s="81"/>
    </row>
    <row r="227">
      <c r="A227" s="84"/>
      <c r="C227" s="81"/>
    </row>
    <row r="228">
      <c r="A228" s="84"/>
      <c r="C228" s="81"/>
    </row>
    <row r="229">
      <c r="A229" s="84"/>
      <c r="C229" s="81"/>
    </row>
    <row r="230">
      <c r="A230" s="84"/>
      <c r="C230" s="81"/>
    </row>
    <row r="231">
      <c r="A231" s="84"/>
      <c r="C231" s="81"/>
    </row>
    <row r="232">
      <c r="A232" s="84"/>
      <c r="C232" s="81"/>
    </row>
    <row r="233">
      <c r="A233" s="84"/>
      <c r="C233" s="81"/>
    </row>
    <row r="234">
      <c r="A234" s="84"/>
      <c r="C234" s="81"/>
    </row>
    <row r="235">
      <c r="A235" s="84"/>
      <c r="C235" s="81"/>
    </row>
    <row r="236">
      <c r="A236" s="84"/>
      <c r="C236" s="81"/>
    </row>
    <row r="237">
      <c r="A237" s="84"/>
      <c r="C237" s="81"/>
    </row>
    <row r="238">
      <c r="A238" s="84"/>
      <c r="C238" s="81"/>
    </row>
    <row r="239">
      <c r="A239" s="84"/>
      <c r="C239" s="81"/>
    </row>
    <row r="240">
      <c r="A240" s="84"/>
      <c r="C240" s="81"/>
    </row>
    <row r="241">
      <c r="A241" s="84"/>
      <c r="C241" s="81"/>
    </row>
    <row r="242">
      <c r="A242" s="84"/>
      <c r="C242" s="81"/>
    </row>
    <row r="243">
      <c r="A243" s="84"/>
      <c r="C243" s="81"/>
    </row>
    <row r="244">
      <c r="A244" s="84"/>
      <c r="C244" s="81"/>
    </row>
    <row r="245">
      <c r="A245" s="84"/>
      <c r="C245" s="81"/>
    </row>
    <row r="246">
      <c r="A246" s="84"/>
      <c r="C246" s="81"/>
    </row>
    <row r="247">
      <c r="A247" s="84"/>
      <c r="C247" s="81"/>
    </row>
    <row r="248">
      <c r="A248" s="84"/>
      <c r="C248" s="81"/>
    </row>
    <row r="249">
      <c r="A249" s="84"/>
      <c r="C249" s="81"/>
    </row>
    <row r="250">
      <c r="A250" s="84"/>
      <c r="C250" s="81"/>
    </row>
    <row r="251">
      <c r="A251" s="84"/>
      <c r="C251" s="81"/>
    </row>
    <row r="252">
      <c r="A252" s="84"/>
      <c r="C252" s="81"/>
    </row>
    <row r="253">
      <c r="A253" s="84"/>
      <c r="C253" s="81"/>
    </row>
    <row r="254">
      <c r="A254" s="84"/>
      <c r="C254" s="81"/>
    </row>
    <row r="255">
      <c r="A255" s="84"/>
      <c r="C255" s="81"/>
    </row>
    <row r="256">
      <c r="A256" s="84"/>
      <c r="C256" s="81"/>
    </row>
    <row r="257">
      <c r="A257" s="84"/>
      <c r="C257" s="81"/>
    </row>
    <row r="258">
      <c r="A258" s="84"/>
      <c r="C258" s="81"/>
    </row>
    <row r="259">
      <c r="A259" s="84"/>
      <c r="C259" s="81"/>
    </row>
    <row r="260">
      <c r="A260" s="84"/>
      <c r="C260" s="81"/>
    </row>
    <row r="261">
      <c r="A261" s="84"/>
      <c r="C261" s="81"/>
    </row>
    <row r="262">
      <c r="A262" s="84"/>
      <c r="C262" s="81"/>
    </row>
    <row r="263">
      <c r="A263" s="84"/>
      <c r="C263" s="81"/>
    </row>
    <row r="264">
      <c r="A264" s="84"/>
      <c r="C264" s="81"/>
    </row>
    <row r="265">
      <c r="A265" s="84"/>
      <c r="C265" s="81"/>
    </row>
    <row r="266">
      <c r="A266" s="84"/>
      <c r="C266" s="81"/>
    </row>
    <row r="267">
      <c r="A267" s="84"/>
      <c r="C267" s="81"/>
    </row>
    <row r="268">
      <c r="A268" s="84"/>
      <c r="C268" s="81"/>
    </row>
    <row r="269">
      <c r="A269" s="84"/>
      <c r="C269" s="81"/>
    </row>
    <row r="270">
      <c r="A270" s="84"/>
      <c r="C270" s="81"/>
    </row>
    <row r="271">
      <c r="A271" s="84"/>
      <c r="C271" s="81"/>
    </row>
    <row r="272">
      <c r="A272" s="84"/>
      <c r="C272" s="81"/>
    </row>
    <row r="273">
      <c r="A273" s="84"/>
      <c r="C273" s="81"/>
    </row>
    <row r="274">
      <c r="A274" s="84"/>
      <c r="C274" s="81"/>
    </row>
    <row r="275">
      <c r="A275" s="84"/>
      <c r="C275" s="81"/>
    </row>
    <row r="276">
      <c r="A276" s="84"/>
      <c r="C276" s="81"/>
    </row>
    <row r="277">
      <c r="A277" s="84"/>
      <c r="C277" s="81"/>
    </row>
    <row r="278">
      <c r="A278" s="84"/>
      <c r="C278" s="81"/>
    </row>
    <row r="279">
      <c r="A279" s="84"/>
      <c r="C279" s="81"/>
    </row>
    <row r="280">
      <c r="A280" s="84"/>
      <c r="C280" s="81"/>
    </row>
    <row r="281">
      <c r="A281" s="84"/>
      <c r="C281" s="81"/>
    </row>
    <row r="282">
      <c r="A282" s="84"/>
      <c r="C282" s="81"/>
    </row>
    <row r="283">
      <c r="A283" s="84"/>
      <c r="C283" s="81"/>
    </row>
    <row r="284">
      <c r="A284" s="84"/>
      <c r="C284" s="81"/>
    </row>
    <row r="285">
      <c r="A285" s="84"/>
      <c r="C285" s="81"/>
    </row>
    <row r="286">
      <c r="A286" s="84"/>
      <c r="C286" s="81"/>
    </row>
    <row r="287">
      <c r="A287" s="84"/>
      <c r="C287" s="81"/>
    </row>
    <row r="288">
      <c r="A288" s="84"/>
      <c r="C288" s="81"/>
    </row>
    <row r="289">
      <c r="A289" s="84"/>
      <c r="C289" s="81"/>
    </row>
    <row r="290">
      <c r="A290" s="84"/>
      <c r="C290" s="81"/>
    </row>
    <row r="291">
      <c r="A291" s="84"/>
      <c r="C291" s="81"/>
    </row>
    <row r="292">
      <c r="A292" s="84"/>
      <c r="C292" s="81"/>
    </row>
    <row r="293">
      <c r="A293" s="84"/>
      <c r="C293" s="81"/>
    </row>
    <row r="294">
      <c r="A294" s="84"/>
      <c r="C294" s="81"/>
    </row>
    <row r="295">
      <c r="A295" s="84"/>
      <c r="C295" s="81"/>
    </row>
    <row r="296">
      <c r="A296" s="84"/>
      <c r="C296" s="81"/>
    </row>
    <row r="297">
      <c r="A297" s="84"/>
      <c r="C297" s="81"/>
    </row>
    <row r="298">
      <c r="A298" s="84"/>
      <c r="C298" s="81"/>
    </row>
    <row r="299">
      <c r="A299" s="84"/>
      <c r="C299" s="81"/>
    </row>
    <row r="300">
      <c r="A300" s="84"/>
      <c r="C300" s="81"/>
    </row>
    <row r="301">
      <c r="A301" s="84"/>
      <c r="C301" s="81"/>
    </row>
    <row r="302">
      <c r="A302" s="84"/>
      <c r="C302" s="81"/>
    </row>
    <row r="303">
      <c r="A303" s="84"/>
      <c r="C303" s="81"/>
    </row>
    <row r="304">
      <c r="A304" s="84"/>
      <c r="C304" s="81"/>
    </row>
    <row r="305">
      <c r="A305" s="84"/>
      <c r="C305" s="81"/>
    </row>
    <row r="306">
      <c r="A306" s="84"/>
      <c r="C306" s="81"/>
    </row>
    <row r="307">
      <c r="A307" s="84"/>
      <c r="C307" s="81"/>
    </row>
    <row r="308">
      <c r="A308" s="84"/>
      <c r="C308" s="81"/>
    </row>
    <row r="309">
      <c r="A309" s="84"/>
      <c r="C309" s="81"/>
    </row>
    <row r="310">
      <c r="A310" s="84"/>
      <c r="C310" s="81"/>
    </row>
    <row r="311">
      <c r="A311" s="84"/>
      <c r="C311" s="81"/>
    </row>
    <row r="312">
      <c r="A312" s="84"/>
      <c r="C312" s="81"/>
    </row>
    <row r="313">
      <c r="A313" s="84"/>
      <c r="C313" s="81"/>
    </row>
    <row r="314">
      <c r="A314" s="84"/>
      <c r="C314" s="81"/>
    </row>
    <row r="315">
      <c r="A315" s="84"/>
      <c r="C315" s="81"/>
    </row>
    <row r="316">
      <c r="A316" s="84"/>
      <c r="C316" s="81"/>
    </row>
    <row r="317">
      <c r="A317" s="84"/>
      <c r="C317" s="81"/>
    </row>
    <row r="318">
      <c r="A318" s="84"/>
      <c r="C318" s="81"/>
    </row>
    <row r="319">
      <c r="A319" s="84"/>
      <c r="C319" s="81"/>
    </row>
    <row r="320">
      <c r="A320" s="84"/>
      <c r="C320" s="81"/>
    </row>
    <row r="321">
      <c r="A321" s="84"/>
      <c r="C321" s="81"/>
    </row>
    <row r="322">
      <c r="A322" s="84"/>
      <c r="C322" s="81"/>
    </row>
    <row r="323">
      <c r="A323" s="84"/>
      <c r="C323" s="81"/>
    </row>
    <row r="324">
      <c r="A324" s="84"/>
      <c r="C324" s="81"/>
    </row>
    <row r="325">
      <c r="A325" s="84"/>
      <c r="C325" s="81"/>
    </row>
    <row r="326">
      <c r="A326" s="84"/>
      <c r="C326" s="81"/>
    </row>
    <row r="327">
      <c r="A327" s="84"/>
      <c r="C327" s="81"/>
    </row>
    <row r="328">
      <c r="A328" s="84"/>
      <c r="C328" s="81"/>
    </row>
    <row r="329">
      <c r="A329" s="84"/>
      <c r="C329" s="81"/>
    </row>
    <row r="330">
      <c r="A330" s="84"/>
      <c r="C330" s="81"/>
    </row>
    <row r="331">
      <c r="A331" s="84"/>
      <c r="C331" s="81"/>
    </row>
    <row r="332">
      <c r="A332" s="84"/>
      <c r="C332" s="81"/>
    </row>
    <row r="333">
      <c r="A333" s="84"/>
      <c r="C333" s="81"/>
    </row>
    <row r="334">
      <c r="A334" s="84"/>
      <c r="C334" s="81"/>
    </row>
    <row r="335">
      <c r="A335" s="84"/>
      <c r="C335" s="81"/>
    </row>
    <row r="336">
      <c r="A336" s="84"/>
      <c r="C336" s="81"/>
    </row>
    <row r="337">
      <c r="A337" s="84"/>
      <c r="C337" s="81"/>
    </row>
    <row r="338">
      <c r="A338" s="84"/>
      <c r="C338" s="81"/>
    </row>
    <row r="339">
      <c r="A339" s="84"/>
      <c r="C339" s="81"/>
    </row>
    <row r="340">
      <c r="A340" s="84"/>
      <c r="C340" s="81"/>
    </row>
    <row r="341">
      <c r="A341" s="84"/>
      <c r="C341" s="81"/>
    </row>
    <row r="342">
      <c r="A342" s="84"/>
      <c r="C342" s="81"/>
    </row>
    <row r="343">
      <c r="A343" s="84"/>
      <c r="C343" s="81"/>
    </row>
    <row r="344">
      <c r="A344" s="84"/>
      <c r="C344" s="81"/>
    </row>
    <row r="345">
      <c r="A345" s="84"/>
      <c r="C345" s="81"/>
    </row>
    <row r="346">
      <c r="A346" s="84"/>
      <c r="C346" s="81"/>
    </row>
    <row r="347">
      <c r="A347" s="84"/>
      <c r="C347" s="81"/>
    </row>
    <row r="348">
      <c r="A348" s="84"/>
      <c r="C348" s="81"/>
    </row>
    <row r="349">
      <c r="A349" s="84"/>
      <c r="C349" s="81"/>
    </row>
    <row r="350">
      <c r="A350" s="84"/>
      <c r="C350" s="81"/>
    </row>
    <row r="351">
      <c r="A351" s="84"/>
      <c r="C351" s="81"/>
    </row>
    <row r="352">
      <c r="A352" s="84"/>
      <c r="C352" s="81"/>
    </row>
    <row r="353">
      <c r="A353" s="84"/>
      <c r="C353" s="81"/>
    </row>
    <row r="354">
      <c r="A354" s="84"/>
      <c r="C354" s="81"/>
    </row>
    <row r="355">
      <c r="A355" s="84"/>
      <c r="C355" s="81"/>
    </row>
    <row r="356">
      <c r="A356" s="84"/>
      <c r="C356" s="81"/>
    </row>
    <row r="357">
      <c r="A357" s="84"/>
      <c r="C357" s="81"/>
    </row>
    <row r="358">
      <c r="A358" s="84"/>
      <c r="C358" s="81"/>
    </row>
    <row r="359">
      <c r="A359" s="84"/>
      <c r="C359" s="81"/>
    </row>
    <row r="360">
      <c r="A360" s="84"/>
      <c r="C360" s="81"/>
    </row>
    <row r="361">
      <c r="A361" s="84"/>
      <c r="C361" s="81"/>
    </row>
    <row r="362">
      <c r="A362" s="84"/>
      <c r="C362" s="81"/>
    </row>
    <row r="363">
      <c r="A363" s="84"/>
      <c r="C363" s="81"/>
    </row>
    <row r="364">
      <c r="A364" s="84"/>
      <c r="C364" s="81"/>
    </row>
    <row r="365">
      <c r="A365" s="84"/>
      <c r="C365" s="81"/>
    </row>
    <row r="366">
      <c r="A366" s="84"/>
      <c r="C366" s="81"/>
    </row>
    <row r="367">
      <c r="A367" s="84"/>
      <c r="C367" s="81"/>
    </row>
    <row r="368">
      <c r="A368" s="84"/>
      <c r="C368" s="81"/>
    </row>
    <row r="369">
      <c r="A369" s="84"/>
      <c r="C369" s="81"/>
    </row>
    <row r="370">
      <c r="A370" s="84"/>
      <c r="C370" s="81"/>
    </row>
    <row r="371">
      <c r="A371" s="84"/>
      <c r="C371" s="81"/>
    </row>
    <row r="372">
      <c r="A372" s="84"/>
      <c r="C372" s="81"/>
    </row>
    <row r="373">
      <c r="A373" s="84"/>
      <c r="C373" s="81"/>
    </row>
    <row r="374">
      <c r="A374" s="84"/>
      <c r="C374" s="81"/>
    </row>
    <row r="375">
      <c r="A375" s="84"/>
      <c r="C375" s="81"/>
    </row>
    <row r="376">
      <c r="A376" s="84"/>
      <c r="C376" s="81"/>
    </row>
    <row r="377">
      <c r="A377" s="84"/>
      <c r="C377" s="81"/>
    </row>
    <row r="378">
      <c r="A378" s="84"/>
      <c r="C378" s="81"/>
    </row>
    <row r="379">
      <c r="A379" s="84"/>
      <c r="C379" s="81"/>
    </row>
    <row r="380">
      <c r="A380" s="84"/>
      <c r="C380" s="81"/>
    </row>
    <row r="381">
      <c r="A381" s="84"/>
      <c r="C381" s="81"/>
    </row>
    <row r="382">
      <c r="A382" s="84"/>
      <c r="C382" s="81"/>
    </row>
    <row r="383">
      <c r="A383" s="84"/>
      <c r="C383" s="81"/>
    </row>
    <row r="384">
      <c r="A384" s="84"/>
      <c r="C384" s="81"/>
    </row>
    <row r="385">
      <c r="A385" s="84"/>
      <c r="C385" s="81"/>
    </row>
    <row r="386">
      <c r="A386" s="84"/>
      <c r="C386" s="81"/>
    </row>
    <row r="387">
      <c r="A387" s="84"/>
      <c r="C387" s="81"/>
    </row>
    <row r="388">
      <c r="A388" s="84"/>
      <c r="C388" s="81"/>
    </row>
    <row r="389">
      <c r="A389" s="84"/>
      <c r="C389" s="81"/>
    </row>
    <row r="390">
      <c r="A390" s="84"/>
      <c r="C390" s="81"/>
    </row>
    <row r="391">
      <c r="A391" s="84"/>
      <c r="C391" s="81"/>
    </row>
    <row r="392">
      <c r="A392" s="84"/>
      <c r="C392" s="81"/>
    </row>
    <row r="393">
      <c r="A393" s="84"/>
      <c r="C393" s="81"/>
    </row>
    <row r="394">
      <c r="A394" s="84"/>
      <c r="C394" s="81"/>
    </row>
    <row r="395">
      <c r="A395" s="84"/>
      <c r="C395" s="81"/>
    </row>
    <row r="396">
      <c r="A396" s="84"/>
      <c r="C396" s="81"/>
    </row>
    <row r="397">
      <c r="A397" s="84"/>
      <c r="C397" s="81"/>
    </row>
    <row r="398">
      <c r="A398" s="84"/>
      <c r="C398" s="81"/>
    </row>
    <row r="399">
      <c r="A399" s="84"/>
      <c r="C399" s="81"/>
    </row>
    <row r="400">
      <c r="A400" s="84"/>
      <c r="C400" s="81"/>
    </row>
    <row r="401">
      <c r="A401" s="84"/>
      <c r="C401" s="81"/>
    </row>
    <row r="402">
      <c r="A402" s="84"/>
      <c r="C402" s="81"/>
    </row>
    <row r="403">
      <c r="A403" s="84"/>
      <c r="C403" s="81"/>
    </row>
    <row r="404">
      <c r="A404" s="84"/>
      <c r="C404" s="81"/>
    </row>
    <row r="405">
      <c r="A405" s="84"/>
      <c r="C405" s="81"/>
    </row>
    <row r="406">
      <c r="A406" s="84"/>
      <c r="C406" s="81"/>
    </row>
    <row r="407">
      <c r="A407" s="84"/>
      <c r="C407" s="81"/>
    </row>
    <row r="408">
      <c r="A408" s="84"/>
      <c r="C408" s="81"/>
    </row>
    <row r="409">
      <c r="A409" s="84"/>
      <c r="C409" s="81"/>
    </row>
    <row r="410">
      <c r="A410" s="84"/>
      <c r="C410" s="81"/>
    </row>
    <row r="411">
      <c r="A411" s="84"/>
      <c r="C411" s="81"/>
    </row>
    <row r="412">
      <c r="A412" s="84"/>
      <c r="C412" s="81"/>
    </row>
    <row r="413">
      <c r="A413" s="84"/>
      <c r="C413" s="81"/>
    </row>
    <row r="414">
      <c r="A414" s="84"/>
      <c r="C414" s="81"/>
    </row>
    <row r="415">
      <c r="A415" s="84"/>
      <c r="C415" s="81"/>
    </row>
    <row r="416">
      <c r="A416" s="84"/>
      <c r="C416" s="81"/>
    </row>
    <row r="417">
      <c r="A417" s="84"/>
      <c r="C417" s="81"/>
    </row>
    <row r="418">
      <c r="A418" s="84"/>
      <c r="C418" s="81"/>
    </row>
    <row r="419">
      <c r="A419" s="84"/>
      <c r="C419" s="81"/>
    </row>
    <row r="420">
      <c r="A420" s="84"/>
      <c r="C420" s="81"/>
    </row>
    <row r="421">
      <c r="A421" s="84"/>
      <c r="C421" s="81"/>
    </row>
    <row r="422">
      <c r="A422" s="84"/>
      <c r="C422" s="81"/>
    </row>
    <row r="423">
      <c r="A423" s="84"/>
      <c r="C423" s="81"/>
    </row>
    <row r="424">
      <c r="A424" s="84"/>
      <c r="C424" s="81"/>
    </row>
    <row r="425">
      <c r="A425" s="84"/>
      <c r="C425" s="81"/>
    </row>
    <row r="426">
      <c r="A426" s="84"/>
      <c r="C426" s="81"/>
    </row>
    <row r="427">
      <c r="A427" s="84"/>
      <c r="C427" s="81"/>
    </row>
    <row r="428">
      <c r="A428" s="84"/>
      <c r="C428" s="81"/>
    </row>
    <row r="429">
      <c r="A429" s="84"/>
      <c r="C429" s="81"/>
    </row>
    <row r="430">
      <c r="A430" s="84"/>
      <c r="C430" s="81"/>
    </row>
    <row r="431">
      <c r="A431" s="84"/>
      <c r="C431" s="81"/>
    </row>
    <row r="432">
      <c r="A432" s="84"/>
      <c r="C432" s="81"/>
    </row>
    <row r="433">
      <c r="A433" s="84"/>
      <c r="C433" s="81"/>
    </row>
    <row r="434">
      <c r="A434" s="84"/>
      <c r="C434" s="81"/>
    </row>
    <row r="435">
      <c r="A435" s="84"/>
      <c r="C435" s="81"/>
    </row>
    <row r="436">
      <c r="A436" s="84"/>
      <c r="C436" s="81"/>
    </row>
    <row r="437">
      <c r="A437" s="84"/>
      <c r="C437" s="81"/>
    </row>
    <row r="438">
      <c r="A438" s="84"/>
      <c r="C438" s="81"/>
    </row>
    <row r="439">
      <c r="A439" s="84"/>
      <c r="C439" s="81"/>
    </row>
    <row r="440">
      <c r="A440" s="84"/>
      <c r="C440" s="81"/>
    </row>
    <row r="441">
      <c r="A441" s="84"/>
      <c r="C441" s="81"/>
    </row>
    <row r="442">
      <c r="A442" s="84"/>
      <c r="C442" s="81"/>
    </row>
    <row r="443">
      <c r="A443" s="84"/>
      <c r="C443" s="81"/>
    </row>
    <row r="444">
      <c r="A444" s="84"/>
      <c r="C444" s="81"/>
    </row>
    <row r="445">
      <c r="A445" s="84"/>
      <c r="C445" s="81"/>
    </row>
    <row r="446">
      <c r="A446" s="84"/>
      <c r="C446" s="81"/>
    </row>
    <row r="447">
      <c r="A447" s="84"/>
      <c r="C447" s="81"/>
    </row>
    <row r="448">
      <c r="A448" s="84"/>
      <c r="C448" s="81"/>
    </row>
    <row r="449">
      <c r="A449" s="84"/>
      <c r="C449" s="81"/>
    </row>
    <row r="450">
      <c r="A450" s="84"/>
      <c r="C450" s="81"/>
    </row>
    <row r="451">
      <c r="A451" s="84"/>
      <c r="C451" s="81"/>
    </row>
    <row r="452">
      <c r="A452" s="84"/>
      <c r="C452" s="81"/>
    </row>
    <row r="453">
      <c r="A453" s="84"/>
      <c r="C453" s="81"/>
    </row>
    <row r="454">
      <c r="A454" s="84"/>
      <c r="C454" s="81"/>
    </row>
    <row r="455">
      <c r="A455" s="84"/>
      <c r="C455" s="81"/>
    </row>
    <row r="456">
      <c r="A456" s="84"/>
      <c r="C456" s="81"/>
    </row>
    <row r="457">
      <c r="A457" s="84"/>
      <c r="C457" s="81"/>
    </row>
    <row r="458">
      <c r="A458" s="84"/>
      <c r="C458" s="81"/>
    </row>
    <row r="459">
      <c r="A459" s="84"/>
      <c r="C459" s="81"/>
    </row>
    <row r="460">
      <c r="A460" s="84"/>
      <c r="C460" s="81"/>
    </row>
    <row r="461">
      <c r="A461" s="84"/>
      <c r="C461" s="81"/>
    </row>
    <row r="462">
      <c r="A462" s="84"/>
      <c r="C462" s="81"/>
    </row>
    <row r="463">
      <c r="A463" s="84"/>
      <c r="C463" s="81"/>
    </row>
    <row r="464">
      <c r="A464" s="84"/>
      <c r="C464" s="81"/>
    </row>
    <row r="465">
      <c r="A465" s="84"/>
      <c r="C465" s="81"/>
    </row>
    <row r="466">
      <c r="A466" s="84"/>
      <c r="C466" s="81"/>
    </row>
    <row r="467">
      <c r="A467" s="84"/>
      <c r="C467" s="81"/>
    </row>
    <row r="468">
      <c r="A468" s="84"/>
      <c r="C468" s="81"/>
    </row>
    <row r="469">
      <c r="A469" s="84"/>
      <c r="C469" s="81"/>
    </row>
    <row r="470">
      <c r="A470" s="84"/>
      <c r="C470" s="81"/>
    </row>
    <row r="471">
      <c r="A471" s="84"/>
      <c r="C471" s="81"/>
    </row>
    <row r="472">
      <c r="A472" s="84"/>
      <c r="C472" s="81"/>
    </row>
    <row r="473">
      <c r="A473" s="84"/>
      <c r="C473" s="81"/>
    </row>
    <row r="474">
      <c r="A474" s="84"/>
      <c r="C474" s="81"/>
    </row>
    <row r="475">
      <c r="A475" s="84"/>
      <c r="C475" s="81"/>
    </row>
    <row r="476">
      <c r="A476" s="84"/>
      <c r="C476" s="81"/>
    </row>
    <row r="477">
      <c r="A477" s="84"/>
      <c r="C477" s="81"/>
    </row>
    <row r="478">
      <c r="A478" s="84"/>
      <c r="C478" s="81"/>
    </row>
    <row r="479">
      <c r="A479" s="84"/>
      <c r="C479" s="81"/>
    </row>
    <row r="480">
      <c r="A480" s="84"/>
      <c r="C480" s="81"/>
    </row>
    <row r="481">
      <c r="A481" s="84"/>
      <c r="C481" s="81"/>
    </row>
    <row r="482">
      <c r="A482" s="84"/>
      <c r="C482" s="81"/>
    </row>
    <row r="483">
      <c r="A483" s="84"/>
      <c r="C483" s="81"/>
    </row>
    <row r="484">
      <c r="A484" s="84"/>
      <c r="C484" s="81"/>
    </row>
    <row r="485">
      <c r="A485" s="84"/>
      <c r="C485" s="81"/>
    </row>
    <row r="486">
      <c r="A486" s="84"/>
      <c r="C486" s="81"/>
    </row>
    <row r="487">
      <c r="A487" s="84"/>
      <c r="C487" s="81"/>
    </row>
    <row r="488">
      <c r="A488" s="84"/>
      <c r="C488" s="81"/>
    </row>
    <row r="489">
      <c r="A489" s="84"/>
      <c r="C489" s="81"/>
    </row>
    <row r="490">
      <c r="A490" s="84"/>
      <c r="C490" s="81"/>
    </row>
    <row r="491">
      <c r="A491" s="84"/>
      <c r="C491" s="81"/>
    </row>
    <row r="492">
      <c r="A492" s="84"/>
      <c r="C492" s="81"/>
    </row>
    <row r="493">
      <c r="A493" s="84"/>
      <c r="C493" s="81"/>
    </row>
    <row r="494">
      <c r="A494" s="84"/>
      <c r="C494" s="81"/>
    </row>
    <row r="495">
      <c r="A495" s="84"/>
      <c r="C495" s="81"/>
    </row>
    <row r="496">
      <c r="A496" s="84"/>
      <c r="C496" s="81"/>
    </row>
    <row r="497">
      <c r="A497" s="84"/>
      <c r="C497" s="81"/>
    </row>
    <row r="498">
      <c r="A498" s="84"/>
      <c r="C498" s="81"/>
    </row>
    <row r="499">
      <c r="A499" s="84"/>
      <c r="C499" s="81"/>
    </row>
    <row r="500">
      <c r="A500" s="84"/>
      <c r="C500" s="81"/>
    </row>
    <row r="501">
      <c r="A501" s="84"/>
      <c r="C501" s="81"/>
    </row>
    <row r="502">
      <c r="A502" s="84"/>
      <c r="C502" s="81"/>
    </row>
    <row r="503">
      <c r="A503" s="84"/>
      <c r="C503" s="81"/>
    </row>
    <row r="504">
      <c r="A504" s="84"/>
      <c r="C504" s="81"/>
    </row>
    <row r="505">
      <c r="A505" s="84"/>
      <c r="C505" s="81"/>
    </row>
    <row r="506">
      <c r="A506" s="84"/>
      <c r="C506" s="81"/>
    </row>
    <row r="507">
      <c r="A507" s="84"/>
      <c r="C507" s="81"/>
    </row>
    <row r="508">
      <c r="A508" s="84"/>
      <c r="C508" s="81"/>
    </row>
    <row r="509">
      <c r="A509" s="84"/>
      <c r="C509" s="81"/>
    </row>
    <row r="510">
      <c r="A510" s="84"/>
      <c r="C510" s="81"/>
    </row>
    <row r="511">
      <c r="A511" s="84"/>
      <c r="C511" s="81"/>
    </row>
    <row r="512">
      <c r="A512" s="84"/>
      <c r="C512" s="81"/>
    </row>
    <row r="513">
      <c r="A513" s="84"/>
      <c r="C513" s="81"/>
    </row>
    <row r="514">
      <c r="A514" s="84"/>
      <c r="C514" s="81"/>
    </row>
    <row r="515">
      <c r="A515" s="84"/>
      <c r="C515" s="81"/>
    </row>
    <row r="516">
      <c r="A516" s="84"/>
      <c r="C516" s="81"/>
    </row>
    <row r="517">
      <c r="A517" s="84"/>
      <c r="C517" s="81"/>
    </row>
    <row r="518">
      <c r="A518" s="84"/>
      <c r="C518" s="81"/>
    </row>
    <row r="519">
      <c r="A519" s="84"/>
      <c r="C519" s="81"/>
    </row>
    <row r="520">
      <c r="A520" s="84"/>
      <c r="C520" s="81"/>
    </row>
    <row r="521">
      <c r="A521" s="84"/>
      <c r="C521" s="81"/>
    </row>
    <row r="522">
      <c r="A522" s="84"/>
      <c r="C522" s="81"/>
    </row>
    <row r="523">
      <c r="A523" s="84"/>
      <c r="C523" s="81"/>
    </row>
    <row r="524">
      <c r="A524" s="84"/>
      <c r="C524" s="81"/>
    </row>
    <row r="525">
      <c r="A525" s="84"/>
      <c r="C525" s="81"/>
    </row>
    <row r="526">
      <c r="A526" s="84"/>
      <c r="C526" s="81"/>
    </row>
    <row r="527">
      <c r="A527" s="84"/>
      <c r="C527" s="81"/>
    </row>
    <row r="528">
      <c r="A528" s="84"/>
      <c r="C528" s="81"/>
    </row>
    <row r="529">
      <c r="A529" s="84"/>
      <c r="C529" s="81"/>
    </row>
    <row r="530">
      <c r="A530" s="84"/>
      <c r="C530" s="81"/>
    </row>
    <row r="531">
      <c r="A531" s="84"/>
      <c r="C531" s="81"/>
    </row>
    <row r="532">
      <c r="A532" s="84"/>
      <c r="C532" s="81"/>
    </row>
    <row r="533">
      <c r="A533" s="84"/>
      <c r="C533" s="81"/>
    </row>
    <row r="534">
      <c r="A534" s="84"/>
      <c r="C534" s="81"/>
    </row>
    <row r="535">
      <c r="A535" s="84"/>
      <c r="C535" s="81"/>
    </row>
    <row r="536">
      <c r="A536" s="84"/>
      <c r="C536" s="81"/>
    </row>
    <row r="537">
      <c r="A537" s="84"/>
      <c r="C537" s="81"/>
    </row>
    <row r="538">
      <c r="A538" s="84"/>
      <c r="C538" s="81"/>
    </row>
    <row r="539">
      <c r="A539" s="84"/>
      <c r="C539" s="81"/>
    </row>
    <row r="540">
      <c r="A540" s="84"/>
      <c r="C540" s="81"/>
    </row>
    <row r="541">
      <c r="A541" s="84"/>
      <c r="C541" s="81"/>
    </row>
    <row r="542">
      <c r="A542" s="84"/>
      <c r="C542" s="81"/>
    </row>
    <row r="543">
      <c r="A543" s="84"/>
      <c r="C543" s="81"/>
    </row>
    <row r="544">
      <c r="A544" s="84"/>
      <c r="C544" s="81"/>
    </row>
    <row r="545">
      <c r="A545" s="84"/>
      <c r="C545" s="81"/>
    </row>
    <row r="546">
      <c r="A546" s="84"/>
      <c r="C546" s="81"/>
    </row>
    <row r="547">
      <c r="A547" s="84"/>
      <c r="C547" s="81"/>
    </row>
    <row r="548">
      <c r="A548" s="84"/>
      <c r="C548" s="81"/>
    </row>
    <row r="549">
      <c r="A549" s="84"/>
      <c r="C549" s="81"/>
    </row>
    <row r="550">
      <c r="A550" s="84"/>
      <c r="C550" s="81"/>
    </row>
    <row r="551">
      <c r="A551" s="84"/>
      <c r="C551" s="81"/>
    </row>
    <row r="552">
      <c r="A552" s="84"/>
      <c r="C552" s="81"/>
    </row>
    <row r="553">
      <c r="A553" s="84"/>
      <c r="C553" s="81"/>
    </row>
    <row r="554">
      <c r="A554" s="84"/>
      <c r="C554" s="81"/>
    </row>
    <row r="555">
      <c r="A555" s="84"/>
      <c r="C555" s="81"/>
    </row>
    <row r="556">
      <c r="A556" s="84"/>
      <c r="C556" s="81"/>
    </row>
    <row r="557">
      <c r="A557" s="84"/>
      <c r="C557" s="81"/>
    </row>
    <row r="558">
      <c r="A558" s="84"/>
      <c r="C558" s="81"/>
    </row>
    <row r="559">
      <c r="A559" s="84"/>
      <c r="C559" s="81"/>
    </row>
    <row r="560">
      <c r="A560" s="84"/>
      <c r="C560" s="81"/>
    </row>
    <row r="561">
      <c r="A561" s="84"/>
      <c r="C561" s="81"/>
    </row>
    <row r="562">
      <c r="A562" s="84"/>
      <c r="C562" s="81"/>
    </row>
    <row r="563">
      <c r="A563" s="84"/>
      <c r="C563" s="81"/>
    </row>
    <row r="564">
      <c r="A564" s="84"/>
      <c r="C564" s="81"/>
    </row>
    <row r="565">
      <c r="A565" s="84"/>
      <c r="C565" s="81"/>
    </row>
    <row r="566">
      <c r="A566" s="84"/>
      <c r="C566" s="81"/>
    </row>
    <row r="567">
      <c r="A567" s="84"/>
      <c r="C567" s="81"/>
    </row>
    <row r="568">
      <c r="A568" s="84"/>
      <c r="C568" s="81"/>
    </row>
    <row r="569">
      <c r="A569" s="84"/>
      <c r="C569" s="81"/>
    </row>
    <row r="570">
      <c r="A570" s="84"/>
      <c r="C570" s="81"/>
    </row>
    <row r="571">
      <c r="A571" s="84"/>
      <c r="C571" s="81"/>
    </row>
    <row r="572">
      <c r="A572" s="84"/>
      <c r="C572" s="81"/>
    </row>
    <row r="573">
      <c r="A573" s="84"/>
      <c r="C573" s="81"/>
    </row>
    <row r="574">
      <c r="A574" s="84"/>
      <c r="C574" s="81"/>
    </row>
    <row r="575">
      <c r="A575" s="84"/>
      <c r="C575" s="81"/>
    </row>
    <row r="576">
      <c r="A576" s="84"/>
      <c r="C576" s="81"/>
    </row>
    <row r="577">
      <c r="A577" s="84"/>
      <c r="C577" s="81"/>
    </row>
    <row r="578">
      <c r="A578" s="84"/>
      <c r="C578" s="81"/>
    </row>
    <row r="579">
      <c r="A579" s="84"/>
      <c r="C579" s="81"/>
    </row>
    <row r="580">
      <c r="A580" s="84"/>
      <c r="C580" s="81"/>
    </row>
    <row r="581">
      <c r="A581" s="84"/>
      <c r="C581" s="81"/>
    </row>
    <row r="582">
      <c r="A582" s="84"/>
      <c r="C582" s="81"/>
    </row>
    <row r="583">
      <c r="A583" s="84"/>
      <c r="C583" s="81"/>
    </row>
    <row r="584">
      <c r="A584" s="84"/>
      <c r="C584" s="81"/>
    </row>
    <row r="585">
      <c r="A585" s="84"/>
      <c r="C585" s="81"/>
    </row>
    <row r="586">
      <c r="A586" s="84"/>
      <c r="C586" s="81"/>
    </row>
    <row r="587">
      <c r="A587" s="84"/>
      <c r="C587" s="81"/>
    </row>
    <row r="588">
      <c r="A588" s="84"/>
      <c r="C588" s="81"/>
    </row>
    <row r="589">
      <c r="A589" s="84"/>
      <c r="C589" s="81"/>
    </row>
    <row r="590">
      <c r="A590" s="84"/>
      <c r="C590" s="81"/>
    </row>
    <row r="591">
      <c r="A591" s="84"/>
      <c r="C591" s="81"/>
    </row>
    <row r="592">
      <c r="A592" s="84"/>
      <c r="C592" s="81"/>
    </row>
    <row r="593">
      <c r="A593" s="84"/>
      <c r="C593" s="81"/>
    </row>
    <row r="594">
      <c r="A594" s="84"/>
      <c r="C594" s="81"/>
    </row>
    <row r="595">
      <c r="A595" s="84"/>
      <c r="C595" s="81"/>
    </row>
    <row r="596">
      <c r="A596" s="84"/>
      <c r="C596" s="81"/>
    </row>
    <row r="597">
      <c r="A597" s="84"/>
      <c r="C597" s="81"/>
    </row>
    <row r="598">
      <c r="A598" s="84"/>
      <c r="C598" s="81"/>
    </row>
    <row r="599">
      <c r="A599" s="84"/>
      <c r="C599" s="81"/>
    </row>
    <row r="600">
      <c r="A600" s="84"/>
      <c r="C600" s="81"/>
    </row>
    <row r="601">
      <c r="A601" s="84"/>
      <c r="C601" s="81"/>
    </row>
    <row r="602">
      <c r="A602" s="84"/>
      <c r="C602" s="81"/>
    </row>
    <row r="603">
      <c r="A603" s="84"/>
      <c r="C603" s="81"/>
    </row>
    <row r="604">
      <c r="A604" s="84"/>
      <c r="C604" s="81"/>
    </row>
    <row r="605">
      <c r="A605" s="84"/>
      <c r="C605" s="81"/>
    </row>
    <row r="606">
      <c r="A606" s="84"/>
      <c r="C606" s="81"/>
    </row>
    <row r="607">
      <c r="A607" s="84"/>
      <c r="C607" s="81"/>
    </row>
    <row r="608">
      <c r="A608" s="84"/>
      <c r="C608" s="81"/>
    </row>
    <row r="609">
      <c r="A609" s="84"/>
      <c r="C609" s="81"/>
    </row>
    <row r="610">
      <c r="A610" s="84"/>
      <c r="C610" s="81"/>
    </row>
    <row r="611">
      <c r="A611" s="84"/>
      <c r="C611" s="81"/>
    </row>
    <row r="612">
      <c r="A612" s="84"/>
      <c r="C612" s="81"/>
    </row>
    <row r="613">
      <c r="A613" s="84"/>
      <c r="C613" s="81"/>
    </row>
    <row r="614">
      <c r="A614" s="84"/>
      <c r="C614" s="81"/>
    </row>
    <row r="615">
      <c r="A615" s="84"/>
      <c r="C615" s="81"/>
    </row>
    <row r="616">
      <c r="A616" s="84"/>
      <c r="C616" s="81"/>
    </row>
    <row r="617">
      <c r="A617" s="84"/>
      <c r="C617" s="81"/>
    </row>
    <row r="618">
      <c r="A618" s="84"/>
      <c r="C618" s="81"/>
    </row>
    <row r="619">
      <c r="A619" s="84"/>
      <c r="C619" s="81"/>
    </row>
    <row r="620">
      <c r="A620" s="84"/>
      <c r="C620" s="81"/>
    </row>
    <row r="621">
      <c r="A621" s="84"/>
      <c r="C621" s="81"/>
    </row>
    <row r="622">
      <c r="A622" s="84"/>
      <c r="C622" s="81"/>
    </row>
    <row r="623">
      <c r="A623" s="84"/>
      <c r="C623" s="81"/>
    </row>
    <row r="624">
      <c r="A624" s="84"/>
      <c r="C624" s="81"/>
    </row>
    <row r="625">
      <c r="A625" s="84"/>
      <c r="C625" s="81"/>
    </row>
    <row r="626">
      <c r="A626" s="84"/>
      <c r="C626" s="81"/>
    </row>
    <row r="627">
      <c r="A627" s="84"/>
      <c r="C627" s="81"/>
    </row>
    <row r="628">
      <c r="A628" s="84"/>
      <c r="C628" s="81"/>
    </row>
    <row r="629">
      <c r="A629" s="84"/>
      <c r="C629" s="81"/>
    </row>
    <row r="630">
      <c r="A630" s="84"/>
      <c r="C630" s="81"/>
    </row>
    <row r="631">
      <c r="A631" s="84"/>
      <c r="C631" s="81"/>
    </row>
    <row r="632">
      <c r="A632" s="84"/>
      <c r="C632" s="81"/>
    </row>
    <row r="633">
      <c r="A633" s="84"/>
      <c r="C633" s="81"/>
    </row>
    <row r="634">
      <c r="A634" s="84"/>
      <c r="C634" s="81"/>
    </row>
    <row r="635">
      <c r="A635" s="84"/>
      <c r="C635" s="81"/>
    </row>
    <row r="636">
      <c r="A636" s="84"/>
      <c r="C636" s="81"/>
    </row>
    <row r="637">
      <c r="A637" s="84"/>
      <c r="C637" s="81"/>
    </row>
    <row r="638">
      <c r="A638" s="84"/>
      <c r="C638" s="81"/>
    </row>
    <row r="639">
      <c r="A639" s="84"/>
      <c r="C639" s="81"/>
    </row>
    <row r="640">
      <c r="A640" s="84"/>
      <c r="C640" s="81"/>
    </row>
    <row r="641">
      <c r="A641" s="84"/>
      <c r="C641" s="81"/>
    </row>
    <row r="642">
      <c r="A642" s="84"/>
      <c r="C642" s="81"/>
    </row>
    <row r="643">
      <c r="A643" s="84"/>
      <c r="C643" s="81"/>
    </row>
    <row r="644">
      <c r="A644" s="84"/>
      <c r="C644" s="81"/>
    </row>
    <row r="645">
      <c r="A645" s="84"/>
      <c r="C645" s="81"/>
    </row>
    <row r="646">
      <c r="A646" s="84"/>
      <c r="C646" s="81"/>
    </row>
    <row r="647">
      <c r="A647" s="84"/>
      <c r="C647" s="81"/>
    </row>
    <row r="648">
      <c r="A648" s="84"/>
      <c r="C648" s="81"/>
    </row>
    <row r="649">
      <c r="A649" s="84"/>
      <c r="C649" s="81"/>
    </row>
    <row r="650">
      <c r="A650" s="84"/>
      <c r="C650" s="81"/>
    </row>
    <row r="651">
      <c r="A651" s="84"/>
      <c r="C651" s="81"/>
    </row>
    <row r="652">
      <c r="A652" s="84"/>
      <c r="C652" s="81"/>
    </row>
    <row r="653">
      <c r="A653" s="84"/>
      <c r="C653" s="81"/>
    </row>
    <row r="654">
      <c r="A654" s="84"/>
      <c r="C654" s="81"/>
    </row>
    <row r="655">
      <c r="A655" s="84"/>
      <c r="C655" s="81"/>
    </row>
    <row r="656">
      <c r="A656" s="84"/>
      <c r="C656" s="81"/>
    </row>
    <row r="657">
      <c r="A657" s="84"/>
      <c r="C657" s="81"/>
    </row>
    <row r="658">
      <c r="A658" s="84"/>
      <c r="C658" s="81"/>
    </row>
    <row r="659">
      <c r="A659" s="84"/>
      <c r="C659" s="81"/>
    </row>
    <row r="660">
      <c r="A660" s="84"/>
      <c r="C660" s="81"/>
    </row>
    <row r="661">
      <c r="A661" s="84"/>
      <c r="C661" s="81"/>
    </row>
    <row r="662">
      <c r="A662" s="84"/>
      <c r="C662" s="81"/>
    </row>
    <row r="663">
      <c r="A663" s="84"/>
      <c r="C663" s="81"/>
    </row>
    <row r="664">
      <c r="A664" s="84"/>
      <c r="C664" s="81"/>
    </row>
    <row r="665">
      <c r="A665" s="84"/>
      <c r="C665" s="81"/>
    </row>
    <row r="666">
      <c r="A666" s="84"/>
      <c r="C666" s="81"/>
    </row>
    <row r="667">
      <c r="A667" s="84"/>
      <c r="C667" s="81"/>
    </row>
    <row r="668">
      <c r="A668" s="84"/>
      <c r="C668" s="81"/>
    </row>
    <row r="669">
      <c r="A669" s="84"/>
      <c r="C669" s="81"/>
    </row>
    <row r="670">
      <c r="A670" s="84"/>
      <c r="C670" s="81"/>
    </row>
    <row r="671">
      <c r="A671" s="84"/>
      <c r="C671" s="81"/>
    </row>
    <row r="672">
      <c r="A672" s="84"/>
      <c r="C672" s="81"/>
    </row>
    <row r="673">
      <c r="A673" s="84"/>
      <c r="C673" s="81"/>
    </row>
    <row r="674">
      <c r="A674" s="84"/>
      <c r="C674" s="81"/>
    </row>
    <row r="675">
      <c r="A675" s="84"/>
      <c r="C675" s="81"/>
    </row>
    <row r="676">
      <c r="A676" s="84"/>
      <c r="C676" s="81"/>
    </row>
    <row r="677">
      <c r="A677" s="84"/>
      <c r="C677" s="81"/>
    </row>
    <row r="678">
      <c r="A678" s="84"/>
      <c r="C678" s="81"/>
    </row>
    <row r="679">
      <c r="A679" s="84"/>
      <c r="C679" s="81"/>
    </row>
    <row r="680">
      <c r="A680" s="84"/>
      <c r="C680" s="81"/>
    </row>
    <row r="681">
      <c r="A681" s="84"/>
      <c r="C681" s="81"/>
    </row>
    <row r="682">
      <c r="A682" s="84"/>
      <c r="C682" s="81"/>
    </row>
    <row r="683">
      <c r="A683" s="84"/>
      <c r="C683" s="81"/>
    </row>
    <row r="684">
      <c r="A684" s="84"/>
      <c r="C684" s="81"/>
    </row>
    <row r="685">
      <c r="A685" s="84"/>
      <c r="C685" s="81"/>
    </row>
    <row r="686">
      <c r="A686" s="84"/>
      <c r="C686" s="81"/>
    </row>
    <row r="687">
      <c r="A687" s="84"/>
      <c r="C687" s="81"/>
    </row>
    <row r="688">
      <c r="A688" s="84"/>
      <c r="C688" s="81"/>
    </row>
    <row r="689">
      <c r="A689" s="84"/>
      <c r="C689" s="81"/>
    </row>
    <row r="690">
      <c r="A690" s="84"/>
      <c r="C690" s="81"/>
    </row>
    <row r="691">
      <c r="A691" s="84"/>
      <c r="C691" s="81"/>
    </row>
    <row r="692">
      <c r="A692" s="84"/>
      <c r="C692" s="81"/>
    </row>
    <row r="693">
      <c r="A693" s="84"/>
      <c r="C693" s="81"/>
    </row>
    <row r="694">
      <c r="A694" s="84"/>
      <c r="C694" s="81"/>
    </row>
    <row r="695">
      <c r="A695" s="84"/>
      <c r="C695" s="81"/>
    </row>
    <row r="696">
      <c r="A696" s="84"/>
      <c r="C696" s="81"/>
    </row>
    <row r="697">
      <c r="A697" s="84"/>
      <c r="C697" s="81"/>
    </row>
    <row r="698">
      <c r="A698" s="84"/>
      <c r="C698" s="81"/>
    </row>
    <row r="699">
      <c r="A699" s="84"/>
      <c r="C699" s="81"/>
    </row>
    <row r="700">
      <c r="A700" s="84"/>
      <c r="C700" s="81"/>
    </row>
    <row r="701">
      <c r="A701" s="84"/>
      <c r="C701" s="81"/>
    </row>
    <row r="702">
      <c r="A702" s="84"/>
      <c r="C702" s="81"/>
    </row>
    <row r="703">
      <c r="A703" s="84"/>
      <c r="C703" s="81"/>
    </row>
    <row r="704">
      <c r="A704" s="84"/>
      <c r="C704" s="81"/>
    </row>
    <row r="705">
      <c r="A705" s="84"/>
      <c r="C705" s="81"/>
    </row>
    <row r="706">
      <c r="A706" s="84"/>
      <c r="C706" s="81"/>
    </row>
    <row r="707">
      <c r="A707" s="84"/>
      <c r="C707" s="81"/>
    </row>
    <row r="708">
      <c r="A708" s="84"/>
      <c r="C708" s="81"/>
    </row>
    <row r="709">
      <c r="A709" s="84"/>
      <c r="C709" s="81"/>
    </row>
    <row r="710">
      <c r="A710" s="84"/>
      <c r="C710" s="81"/>
    </row>
    <row r="711">
      <c r="A711" s="84"/>
      <c r="C711" s="81"/>
    </row>
    <row r="712">
      <c r="A712" s="84"/>
      <c r="C712" s="81"/>
    </row>
    <row r="713">
      <c r="A713" s="84"/>
      <c r="C713" s="81"/>
    </row>
    <row r="714">
      <c r="A714" s="84"/>
      <c r="C714" s="81"/>
    </row>
    <row r="715">
      <c r="A715" s="84"/>
      <c r="C715" s="81"/>
    </row>
    <row r="716">
      <c r="A716" s="84"/>
      <c r="C716" s="81"/>
    </row>
    <row r="717">
      <c r="A717" s="84"/>
      <c r="C717" s="81"/>
    </row>
    <row r="718">
      <c r="A718" s="84"/>
      <c r="C718" s="81"/>
    </row>
    <row r="719">
      <c r="A719" s="84"/>
      <c r="C719" s="81"/>
    </row>
    <row r="720">
      <c r="A720" s="84"/>
      <c r="C720" s="81"/>
    </row>
    <row r="721">
      <c r="A721" s="84"/>
      <c r="C721" s="81"/>
    </row>
    <row r="722">
      <c r="A722" s="84"/>
      <c r="C722" s="81"/>
    </row>
    <row r="723">
      <c r="A723" s="84"/>
      <c r="C723" s="81"/>
    </row>
    <row r="724">
      <c r="A724" s="84"/>
      <c r="C724" s="81"/>
    </row>
    <row r="725">
      <c r="A725" s="84"/>
      <c r="C725" s="81"/>
    </row>
    <row r="726">
      <c r="A726" s="84"/>
      <c r="C726" s="81"/>
    </row>
    <row r="727">
      <c r="A727" s="84"/>
      <c r="C727" s="81"/>
    </row>
    <row r="728">
      <c r="A728" s="84"/>
      <c r="C728" s="81"/>
    </row>
    <row r="729">
      <c r="A729" s="84"/>
      <c r="C729" s="81"/>
    </row>
    <row r="730">
      <c r="A730" s="84"/>
      <c r="C730" s="81"/>
    </row>
    <row r="731">
      <c r="A731" s="84"/>
      <c r="C731" s="81"/>
    </row>
    <row r="732">
      <c r="A732" s="84"/>
      <c r="C732" s="81"/>
    </row>
    <row r="733">
      <c r="A733" s="84"/>
      <c r="C733" s="81"/>
    </row>
    <row r="734">
      <c r="A734" s="84"/>
      <c r="C734" s="81"/>
    </row>
    <row r="735">
      <c r="A735" s="84"/>
      <c r="C735" s="81"/>
    </row>
    <row r="736">
      <c r="A736" s="84"/>
      <c r="C736" s="81"/>
    </row>
    <row r="737">
      <c r="A737" s="84"/>
      <c r="C737" s="81"/>
    </row>
    <row r="738">
      <c r="A738" s="84"/>
      <c r="C738" s="81"/>
    </row>
    <row r="739">
      <c r="A739" s="84"/>
      <c r="C739" s="81"/>
    </row>
    <row r="740">
      <c r="A740" s="84"/>
      <c r="C740" s="81"/>
    </row>
    <row r="741">
      <c r="A741" s="84"/>
      <c r="C741" s="81"/>
    </row>
    <row r="742">
      <c r="A742" s="84"/>
      <c r="C742" s="81"/>
    </row>
    <row r="743">
      <c r="A743" s="84"/>
      <c r="C743" s="81"/>
    </row>
    <row r="744">
      <c r="A744" s="84"/>
      <c r="C744" s="81"/>
    </row>
    <row r="745">
      <c r="A745" s="84"/>
      <c r="C745" s="81"/>
    </row>
    <row r="746">
      <c r="A746" s="84"/>
      <c r="C746" s="81"/>
    </row>
    <row r="747">
      <c r="A747" s="84"/>
      <c r="C747" s="81"/>
    </row>
    <row r="748">
      <c r="A748" s="84"/>
      <c r="C748" s="81"/>
    </row>
    <row r="749">
      <c r="A749" s="84"/>
      <c r="C749" s="81"/>
    </row>
    <row r="750">
      <c r="A750" s="84"/>
      <c r="C750" s="81"/>
    </row>
    <row r="751">
      <c r="A751" s="84"/>
      <c r="C751" s="81"/>
    </row>
    <row r="752">
      <c r="A752" s="84"/>
      <c r="C752" s="81"/>
    </row>
    <row r="753">
      <c r="A753" s="84"/>
      <c r="C753" s="81"/>
    </row>
    <row r="754">
      <c r="A754" s="84"/>
      <c r="C754" s="81"/>
    </row>
    <row r="755">
      <c r="A755" s="84"/>
      <c r="C755" s="81"/>
    </row>
    <row r="756">
      <c r="A756" s="84"/>
      <c r="C756" s="81"/>
    </row>
    <row r="757">
      <c r="A757" s="84"/>
      <c r="C757" s="81"/>
    </row>
    <row r="758">
      <c r="A758" s="84"/>
      <c r="C758" s="81"/>
    </row>
    <row r="759">
      <c r="A759" s="84"/>
      <c r="C759" s="81"/>
    </row>
    <row r="760">
      <c r="A760" s="84"/>
      <c r="C760" s="81"/>
    </row>
    <row r="761">
      <c r="A761" s="84"/>
      <c r="C761" s="81"/>
    </row>
    <row r="762">
      <c r="A762" s="84"/>
      <c r="C762" s="81"/>
    </row>
    <row r="763">
      <c r="A763" s="84"/>
      <c r="C763" s="81"/>
    </row>
    <row r="764">
      <c r="A764" s="84"/>
      <c r="C764" s="81"/>
    </row>
    <row r="765">
      <c r="A765" s="84"/>
      <c r="C765" s="81"/>
    </row>
    <row r="766">
      <c r="A766" s="84"/>
      <c r="C766" s="81"/>
    </row>
    <row r="767">
      <c r="A767" s="84"/>
      <c r="C767" s="81"/>
    </row>
    <row r="768">
      <c r="A768" s="84"/>
      <c r="C768" s="81"/>
    </row>
    <row r="769">
      <c r="A769" s="84"/>
      <c r="C769" s="81"/>
    </row>
    <row r="770">
      <c r="A770" s="84"/>
      <c r="C770" s="81"/>
    </row>
    <row r="771">
      <c r="A771" s="84"/>
      <c r="C771" s="81"/>
    </row>
    <row r="772">
      <c r="A772" s="84"/>
      <c r="C772" s="81"/>
    </row>
    <row r="773">
      <c r="A773" s="84"/>
      <c r="C773" s="81"/>
    </row>
    <row r="774">
      <c r="A774" s="84"/>
      <c r="C774" s="81"/>
    </row>
    <row r="775">
      <c r="A775" s="84"/>
      <c r="C775" s="81"/>
    </row>
    <row r="776">
      <c r="A776" s="84"/>
      <c r="C776" s="81"/>
    </row>
    <row r="777">
      <c r="A777" s="84"/>
      <c r="C777" s="81"/>
    </row>
    <row r="778">
      <c r="A778" s="84"/>
      <c r="C778" s="81"/>
    </row>
    <row r="779">
      <c r="A779" s="84"/>
      <c r="C779" s="81"/>
    </row>
    <row r="780">
      <c r="A780" s="84"/>
      <c r="C780" s="81"/>
    </row>
    <row r="781">
      <c r="A781" s="84"/>
      <c r="C781" s="81"/>
    </row>
    <row r="782">
      <c r="A782" s="84"/>
      <c r="C782" s="81"/>
    </row>
    <row r="783">
      <c r="A783" s="84"/>
      <c r="C783" s="81"/>
    </row>
    <row r="784">
      <c r="A784" s="84"/>
      <c r="C784" s="81"/>
    </row>
    <row r="785">
      <c r="A785" s="84"/>
      <c r="C785" s="81"/>
    </row>
    <row r="786">
      <c r="A786" s="84"/>
      <c r="C786" s="81"/>
    </row>
    <row r="787">
      <c r="A787" s="84"/>
      <c r="C787" s="81"/>
    </row>
    <row r="788">
      <c r="A788" s="84"/>
      <c r="C788" s="81"/>
    </row>
    <row r="789">
      <c r="A789" s="84"/>
      <c r="C789" s="81"/>
    </row>
    <row r="790">
      <c r="A790" s="84"/>
      <c r="C790" s="81"/>
    </row>
    <row r="791">
      <c r="A791" s="84"/>
      <c r="C791" s="81"/>
    </row>
    <row r="792">
      <c r="A792" s="84"/>
      <c r="C792" s="81"/>
    </row>
    <row r="793">
      <c r="A793" s="84"/>
      <c r="C793" s="81"/>
    </row>
    <row r="794">
      <c r="A794" s="84"/>
      <c r="C794" s="81"/>
    </row>
    <row r="795">
      <c r="A795" s="84"/>
      <c r="C795" s="81"/>
    </row>
    <row r="796">
      <c r="A796" s="84"/>
      <c r="C796" s="81"/>
    </row>
    <row r="797">
      <c r="A797" s="84"/>
      <c r="C797" s="81"/>
    </row>
    <row r="798">
      <c r="A798" s="84"/>
      <c r="C798" s="81"/>
    </row>
    <row r="799">
      <c r="A799" s="84"/>
      <c r="C799" s="81"/>
    </row>
    <row r="800">
      <c r="A800" s="84"/>
      <c r="C800" s="81"/>
    </row>
    <row r="801">
      <c r="A801" s="84"/>
      <c r="C801" s="81"/>
    </row>
    <row r="802">
      <c r="A802" s="84"/>
      <c r="C802" s="81"/>
    </row>
    <row r="803">
      <c r="A803" s="84"/>
      <c r="C803" s="81"/>
    </row>
    <row r="804">
      <c r="A804" s="84"/>
      <c r="C804" s="81"/>
    </row>
    <row r="805">
      <c r="A805" s="84"/>
      <c r="C805" s="81"/>
    </row>
    <row r="806">
      <c r="A806" s="84"/>
      <c r="C806" s="81"/>
    </row>
    <row r="807">
      <c r="A807" s="84"/>
      <c r="C807" s="81"/>
    </row>
    <row r="808">
      <c r="A808" s="84"/>
      <c r="C808" s="81"/>
    </row>
    <row r="809">
      <c r="A809" s="84"/>
      <c r="C809" s="81"/>
    </row>
    <row r="810">
      <c r="A810" s="84"/>
      <c r="C810" s="81"/>
    </row>
    <row r="811">
      <c r="A811" s="84"/>
      <c r="C811" s="81"/>
    </row>
    <row r="812">
      <c r="A812" s="84"/>
      <c r="C812" s="81"/>
    </row>
    <row r="813">
      <c r="A813" s="84"/>
      <c r="C813" s="81"/>
    </row>
    <row r="814">
      <c r="A814" s="84"/>
      <c r="C814" s="81"/>
    </row>
    <row r="815">
      <c r="A815" s="84"/>
      <c r="C815" s="81"/>
    </row>
    <row r="816">
      <c r="A816" s="84"/>
      <c r="C816" s="81"/>
    </row>
    <row r="817">
      <c r="A817" s="84"/>
      <c r="C817" s="81"/>
    </row>
    <row r="818">
      <c r="A818" s="84"/>
      <c r="C818" s="81"/>
    </row>
    <row r="819">
      <c r="A819" s="84"/>
      <c r="C819" s="81"/>
    </row>
    <row r="820">
      <c r="A820" s="84"/>
      <c r="C820" s="81"/>
    </row>
    <row r="821">
      <c r="A821" s="84"/>
      <c r="C821" s="81"/>
    </row>
    <row r="822">
      <c r="A822" s="84"/>
      <c r="C822" s="81"/>
    </row>
    <row r="823">
      <c r="A823" s="84"/>
      <c r="C823" s="81"/>
    </row>
    <row r="824">
      <c r="A824" s="84"/>
      <c r="C824" s="81"/>
    </row>
    <row r="825">
      <c r="A825" s="84"/>
      <c r="C825" s="81"/>
    </row>
    <row r="826">
      <c r="A826" s="84"/>
      <c r="C826" s="81"/>
    </row>
    <row r="827">
      <c r="A827" s="84"/>
      <c r="C827" s="81"/>
    </row>
    <row r="828">
      <c r="A828" s="84"/>
      <c r="C828" s="81"/>
    </row>
    <row r="829">
      <c r="A829" s="84"/>
      <c r="C829" s="81"/>
    </row>
    <row r="830">
      <c r="A830" s="84"/>
      <c r="C830" s="81"/>
    </row>
    <row r="831">
      <c r="A831" s="84"/>
      <c r="C831" s="81"/>
    </row>
    <row r="832">
      <c r="A832" s="84"/>
      <c r="C832" s="81"/>
    </row>
    <row r="833">
      <c r="A833" s="84"/>
      <c r="C833" s="81"/>
    </row>
    <row r="834">
      <c r="A834" s="84"/>
      <c r="C834" s="81"/>
    </row>
    <row r="835">
      <c r="A835" s="84"/>
      <c r="C835" s="81"/>
    </row>
    <row r="836">
      <c r="A836" s="84"/>
      <c r="C836" s="81"/>
    </row>
    <row r="837">
      <c r="A837" s="84"/>
      <c r="C837" s="81"/>
    </row>
    <row r="838">
      <c r="A838" s="84"/>
      <c r="C838" s="81"/>
    </row>
    <row r="839">
      <c r="A839" s="84"/>
      <c r="C839" s="81"/>
    </row>
    <row r="840">
      <c r="A840" s="84"/>
      <c r="C840" s="81"/>
    </row>
    <row r="841">
      <c r="A841" s="84"/>
      <c r="C841" s="81"/>
    </row>
    <row r="842">
      <c r="A842" s="84"/>
      <c r="C842" s="81"/>
    </row>
    <row r="843">
      <c r="A843" s="84"/>
      <c r="C843" s="81"/>
    </row>
    <row r="844">
      <c r="A844" s="84"/>
      <c r="C844" s="81"/>
    </row>
    <row r="845">
      <c r="A845" s="84"/>
      <c r="C845" s="81"/>
    </row>
    <row r="846">
      <c r="A846" s="84"/>
      <c r="C846" s="81"/>
    </row>
    <row r="847">
      <c r="A847" s="84"/>
      <c r="C847" s="81"/>
    </row>
    <row r="848">
      <c r="A848" s="84"/>
      <c r="C848" s="81"/>
    </row>
    <row r="849">
      <c r="A849" s="84"/>
      <c r="C849" s="81"/>
    </row>
    <row r="850">
      <c r="A850" s="84"/>
      <c r="C850" s="81"/>
    </row>
    <row r="851">
      <c r="A851" s="84"/>
      <c r="C851" s="81"/>
    </row>
    <row r="852">
      <c r="A852" s="84"/>
      <c r="C852" s="81"/>
    </row>
    <row r="853">
      <c r="A853" s="84"/>
      <c r="C853" s="81"/>
    </row>
    <row r="854">
      <c r="A854" s="84"/>
      <c r="C854" s="81"/>
    </row>
    <row r="855">
      <c r="A855" s="84"/>
      <c r="C855" s="81"/>
    </row>
    <row r="856">
      <c r="A856" s="84"/>
      <c r="C856" s="81"/>
    </row>
    <row r="857">
      <c r="A857" s="84"/>
      <c r="C857" s="81"/>
    </row>
    <row r="858">
      <c r="A858" s="84"/>
      <c r="C858" s="81"/>
    </row>
    <row r="859">
      <c r="A859" s="84"/>
      <c r="C859" s="81"/>
    </row>
    <row r="860">
      <c r="A860" s="84"/>
      <c r="C860" s="81"/>
    </row>
    <row r="861">
      <c r="A861" s="84"/>
      <c r="C861" s="81"/>
    </row>
    <row r="862">
      <c r="A862" s="84"/>
      <c r="C862" s="81"/>
    </row>
    <row r="863">
      <c r="A863" s="84"/>
      <c r="C863" s="81"/>
    </row>
    <row r="864">
      <c r="A864" s="84"/>
      <c r="C864" s="81"/>
    </row>
    <row r="865">
      <c r="A865" s="84"/>
      <c r="C865" s="81"/>
    </row>
    <row r="866">
      <c r="A866" s="84"/>
      <c r="C866" s="81"/>
    </row>
    <row r="867">
      <c r="A867" s="84"/>
      <c r="C867" s="81"/>
    </row>
    <row r="868">
      <c r="A868" s="84"/>
      <c r="C868" s="81"/>
    </row>
    <row r="869">
      <c r="A869" s="84"/>
      <c r="C869" s="81"/>
    </row>
    <row r="870">
      <c r="A870" s="84"/>
      <c r="C870" s="81"/>
    </row>
    <row r="871">
      <c r="A871" s="84"/>
      <c r="C871" s="81"/>
    </row>
    <row r="872">
      <c r="A872" s="84"/>
      <c r="C872" s="81"/>
    </row>
    <row r="873">
      <c r="A873" s="84"/>
      <c r="C873" s="81"/>
    </row>
    <row r="874">
      <c r="A874" s="84"/>
      <c r="C874" s="81"/>
    </row>
    <row r="875">
      <c r="A875" s="84"/>
      <c r="C875" s="81"/>
    </row>
    <row r="876">
      <c r="A876" s="84"/>
      <c r="C876" s="81"/>
    </row>
    <row r="877">
      <c r="A877" s="84"/>
      <c r="C877" s="81"/>
    </row>
    <row r="878">
      <c r="A878" s="84"/>
      <c r="C878" s="81"/>
    </row>
    <row r="879">
      <c r="A879" s="84"/>
      <c r="C879" s="81"/>
    </row>
    <row r="880">
      <c r="A880" s="84"/>
      <c r="C880" s="81"/>
    </row>
    <row r="881">
      <c r="A881" s="84"/>
      <c r="C881" s="81"/>
    </row>
    <row r="882">
      <c r="A882" s="84"/>
      <c r="C882" s="81"/>
    </row>
    <row r="883">
      <c r="A883" s="84"/>
      <c r="C883" s="81"/>
    </row>
    <row r="884">
      <c r="A884" s="84"/>
      <c r="C884" s="81"/>
    </row>
    <row r="885">
      <c r="A885" s="84"/>
      <c r="C885" s="81"/>
    </row>
    <row r="886">
      <c r="A886" s="84"/>
      <c r="C886" s="81"/>
    </row>
    <row r="887">
      <c r="A887" s="84"/>
      <c r="C887" s="81"/>
    </row>
    <row r="888">
      <c r="A888" s="84"/>
      <c r="C888" s="81"/>
    </row>
    <row r="889">
      <c r="A889" s="84"/>
      <c r="C889" s="81"/>
    </row>
    <row r="890">
      <c r="A890" s="84"/>
      <c r="C890" s="81"/>
    </row>
    <row r="891">
      <c r="A891" s="84"/>
      <c r="C891" s="81"/>
    </row>
    <row r="892">
      <c r="A892" s="84"/>
      <c r="C892" s="81"/>
    </row>
    <row r="893">
      <c r="A893" s="84"/>
      <c r="C893" s="81"/>
    </row>
    <row r="894">
      <c r="A894" s="84"/>
      <c r="C894" s="81"/>
    </row>
    <row r="895">
      <c r="A895" s="84"/>
      <c r="C895" s="81"/>
    </row>
    <row r="896">
      <c r="A896" s="84"/>
      <c r="C896" s="81"/>
    </row>
    <row r="897">
      <c r="A897" s="84"/>
      <c r="C897" s="81"/>
    </row>
    <row r="898">
      <c r="A898" s="84"/>
      <c r="C898" s="81"/>
    </row>
    <row r="899">
      <c r="A899" s="84"/>
      <c r="C899" s="81"/>
    </row>
    <row r="900">
      <c r="A900" s="84"/>
      <c r="C900" s="81"/>
    </row>
    <row r="901">
      <c r="A901" s="84"/>
      <c r="C901" s="81"/>
    </row>
    <row r="902">
      <c r="A902" s="84"/>
      <c r="C902" s="81"/>
    </row>
    <row r="903">
      <c r="A903" s="84"/>
      <c r="C903" s="81"/>
    </row>
    <row r="904">
      <c r="A904" s="84"/>
      <c r="C904" s="81"/>
    </row>
    <row r="905">
      <c r="A905" s="84"/>
      <c r="C905" s="81"/>
    </row>
    <row r="906">
      <c r="A906" s="84"/>
      <c r="C906" s="81"/>
    </row>
    <row r="907">
      <c r="A907" s="84"/>
      <c r="C907" s="81"/>
    </row>
    <row r="908">
      <c r="A908" s="84"/>
      <c r="C908" s="81"/>
    </row>
    <row r="909">
      <c r="A909" s="84"/>
      <c r="C909" s="81"/>
    </row>
    <row r="910">
      <c r="A910" s="84"/>
      <c r="C910" s="81"/>
    </row>
    <row r="911">
      <c r="A911" s="84"/>
      <c r="C911" s="81"/>
    </row>
    <row r="912">
      <c r="A912" s="84"/>
      <c r="C912" s="81"/>
    </row>
    <row r="913">
      <c r="A913" s="84"/>
      <c r="C913" s="81"/>
    </row>
    <row r="914">
      <c r="A914" s="84"/>
      <c r="C914" s="81"/>
    </row>
    <row r="915">
      <c r="A915" s="84"/>
      <c r="C915" s="81"/>
    </row>
    <row r="916">
      <c r="A916" s="84"/>
      <c r="C916" s="81"/>
    </row>
    <row r="917">
      <c r="A917" s="84"/>
      <c r="C917" s="81"/>
    </row>
    <row r="918">
      <c r="A918" s="84"/>
      <c r="C918" s="81"/>
    </row>
    <row r="919">
      <c r="A919" s="84"/>
      <c r="C919" s="81"/>
    </row>
    <row r="920">
      <c r="A920" s="84"/>
      <c r="C920" s="81"/>
    </row>
    <row r="921">
      <c r="A921" s="84"/>
      <c r="C921" s="81"/>
    </row>
    <row r="922">
      <c r="A922" s="84"/>
      <c r="C922" s="81"/>
    </row>
    <row r="923">
      <c r="A923" s="84"/>
      <c r="C923" s="81"/>
    </row>
    <row r="924">
      <c r="A924" s="84"/>
      <c r="C924" s="81"/>
    </row>
    <row r="925">
      <c r="A925" s="84"/>
      <c r="C925" s="81"/>
    </row>
    <row r="926">
      <c r="A926" s="84"/>
      <c r="C926" s="81"/>
    </row>
    <row r="927">
      <c r="A927" s="84"/>
      <c r="C927" s="81"/>
    </row>
    <row r="928">
      <c r="A928" s="84"/>
      <c r="C928" s="81"/>
    </row>
    <row r="929">
      <c r="A929" s="84"/>
      <c r="C929" s="81"/>
    </row>
    <row r="930">
      <c r="A930" s="84"/>
      <c r="C930" s="81"/>
    </row>
    <row r="931">
      <c r="A931" s="84"/>
      <c r="C931" s="81"/>
    </row>
    <row r="932">
      <c r="A932" s="84"/>
      <c r="C932" s="81"/>
    </row>
    <row r="933">
      <c r="A933" s="84"/>
      <c r="C933" s="81"/>
    </row>
    <row r="934">
      <c r="A934" s="84"/>
      <c r="C934" s="81"/>
    </row>
    <row r="935">
      <c r="A935" s="84"/>
      <c r="C935" s="81"/>
    </row>
    <row r="936">
      <c r="A936" s="84"/>
      <c r="C936" s="81"/>
    </row>
    <row r="937">
      <c r="A937" s="84"/>
      <c r="C937" s="81"/>
    </row>
    <row r="938">
      <c r="A938" s="84"/>
      <c r="C938" s="81"/>
    </row>
    <row r="939">
      <c r="A939" s="84"/>
      <c r="C939" s="81"/>
    </row>
    <row r="940">
      <c r="A940" s="84"/>
      <c r="C940" s="81"/>
    </row>
    <row r="941">
      <c r="A941" s="84"/>
      <c r="C941" s="81"/>
    </row>
    <row r="942">
      <c r="A942" s="84"/>
      <c r="C942" s="81"/>
    </row>
    <row r="943">
      <c r="A943" s="84"/>
      <c r="C943" s="81"/>
    </row>
    <row r="944">
      <c r="A944" s="84"/>
      <c r="C944" s="81"/>
    </row>
    <row r="945">
      <c r="A945" s="84"/>
      <c r="C945" s="81"/>
    </row>
    <row r="946">
      <c r="A946" s="84"/>
      <c r="C946" s="81"/>
    </row>
    <row r="947">
      <c r="A947" s="84"/>
      <c r="C947" s="81"/>
    </row>
    <row r="948">
      <c r="A948" s="84"/>
      <c r="C948" s="81"/>
    </row>
    <row r="949">
      <c r="A949" s="84"/>
      <c r="C949" s="81"/>
    </row>
    <row r="950">
      <c r="A950" s="84"/>
      <c r="C950" s="81"/>
    </row>
    <row r="951">
      <c r="A951" s="84"/>
      <c r="C951" s="81"/>
    </row>
    <row r="952">
      <c r="A952" s="84"/>
      <c r="C952" s="81"/>
    </row>
    <row r="953">
      <c r="A953" s="84"/>
      <c r="C953" s="81"/>
    </row>
    <row r="954">
      <c r="A954" s="84"/>
      <c r="C954" s="81"/>
    </row>
    <row r="955">
      <c r="A955" s="84"/>
      <c r="C955" s="81"/>
    </row>
    <row r="956">
      <c r="A956" s="84"/>
      <c r="C956" s="81"/>
    </row>
    <row r="957">
      <c r="A957" s="84"/>
      <c r="C957" s="81"/>
    </row>
    <row r="958">
      <c r="A958" s="84"/>
      <c r="C958" s="81"/>
    </row>
    <row r="959">
      <c r="A959" s="84"/>
      <c r="C959" s="81"/>
    </row>
    <row r="960">
      <c r="A960" s="84"/>
      <c r="C960" s="81"/>
    </row>
    <row r="961">
      <c r="A961" s="84"/>
      <c r="C961" s="81"/>
    </row>
    <row r="962">
      <c r="A962" s="84"/>
      <c r="C962" s="81"/>
    </row>
    <row r="963">
      <c r="A963" s="84"/>
      <c r="C963" s="81"/>
    </row>
    <row r="964">
      <c r="A964" s="84"/>
      <c r="C964" s="81"/>
    </row>
    <row r="965">
      <c r="A965" s="84"/>
      <c r="C965" s="81"/>
    </row>
    <row r="966">
      <c r="A966" s="84"/>
      <c r="C966" s="81"/>
    </row>
    <row r="967">
      <c r="A967" s="84"/>
      <c r="C967" s="81"/>
    </row>
    <row r="968">
      <c r="A968" s="84"/>
      <c r="C968" s="81"/>
    </row>
    <row r="969">
      <c r="A969" s="84"/>
      <c r="C969" s="81"/>
    </row>
    <row r="970">
      <c r="A970" s="84"/>
      <c r="C970" s="81"/>
    </row>
    <row r="971">
      <c r="A971" s="84"/>
      <c r="C971" s="81"/>
    </row>
    <row r="972">
      <c r="A972" s="84"/>
      <c r="C972" s="81"/>
    </row>
    <row r="973">
      <c r="A973" s="84"/>
      <c r="C973" s="81"/>
    </row>
    <row r="974">
      <c r="A974" s="84"/>
      <c r="C974" s="81"/>
    </row>
    <row r="975">
      <c r="A975" s="84"/>
      <c r="C975" s="81"/>
    </row>
    <row r="976">
      <c r="A976" s="84"/>
      <c r="C976" s="81"/>
    </row>
    <row r="977">
      <c r="A977" s="84"/>
      <c r="C977" s="81"/>
    </row>
    <row r="978">
      <c r="A978" s="84"/>
      <c r="C978" s="81"/>
    </row>
    <row r="979">
      <c r="A979" s="84"/>
      <c r="C979" s="81"/>
    </row>
    <row r="980">
      <c r="A980" s="84"/>
      <c r="C980" s="81"/>
    </row>
    <row r="981">
      <c r="A981" s="84"/>
      <c r="C981" s="81"/>
    </row>
    <row r="982">
      <c r="A982" s="84"/>
      <c r="C982" s="81"/>
    </row>
    <row r="983">
      <c r="A983" s="84"/>
      <c r="C983" s="81"/>
    </row>
    <row r="984">
      <c r="A984" s="84"/>
      <c r="C984" s="81"/>
    </row>
    <row r="985">
      <c r="A985" s="84"/>
      <c r="C985" s="81"/>
    </row>
    <row r="986">
      <c r="A986" s="84"/>
      <c r="C986" s="81"/>
    </row>
    <row r="987">
      <c r="A987" s="84"/>
      <c r="C987" s="81"/>
    </row>
    <row r="988">
      <c r="A988" s="84"/>
      <c r="C988" s="81"/>
    </row>
    <row r="989">
      <c r="A989" s="84"/>
      <c r="C989" s="81"/>
    </row>
    <row r="990">
      <c r="A990" s="84"/>
      <c r="C990" s="81"/>
    </row>
    <row r="991">
      <c r="A991" s="84"/>
      <c r="C991" s="81"/>
    </row>
    <row r="992">
      <c r="A992" s="84"/>
      <c r="C992" s="81"/>
    </row>
    <row r="993">
      <c r="A993" s="84"/>
      <c r="C993" s="81"/>
    </row>
    <row r="994">
      <c r="A994" s="84"/>
      <c r="C994" s="81"/>
    </row>
    <row r="995">
      <c r="A995" s="84"/>
      <c r="C995" s="81"/>
    </row>
    <row r="996">
      <c r="A996" s="84"/>
      <c r="C996" s="81"/>
    </row>
    <row r="997">
      <c r="A997" s="84"/>
      <c r="C997" s="81"/>
    </row>
    <row r="998">
      <c r="A998" s="84"/>
      <c r="C998" s="81"/>
    </row>
    <row r="999">
      <c r="A999" s="84"/>
      <c r="C999" s="81"/>
    </row>
    <row r="1000">
      <c r="A1000" s="84"/>
      <c r="C1000" s="81"/>
    </row>
  </sheetData>
  <mergeCells count="3">
    <mergeCell ref="B1:C1"/>
    <mergeCell ref="D1:E1"/>
    <mergeCell ref="A2:A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0"/>
  </cols>
  <sheetData>
    <row r="1">
      <c r="A1" s="23" t="s">
        <v>0</v>
      </c>
      <c r="B1" s="24">
        <v>2021.0</v>
      </c>
      <c r="C1" s="24">
        <v>2020.0</v>
      </c>
      <c r="D1" s="23">
        <v>2019.0</v>
      </c>
      <c r="E1" s="23">
        <v>2018.0</v>
      </c>
      <c r="F1" s="23">
        <v>2017.0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8" t="s">
        <v>39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8" t="s">
        <v>40</v>
      </c>
      <c r="B4" s="9">
        <f>1347.2*1000</f>
        <v>1347200</v>
      </c>
      <c r="C4" s="10">
        <f>1327.2*1000</f>
        <v>1327200</v>
      </c>
      <c r="D4" s="9">
        <f>1323.9*1000</f>
        <v>1323900</v>
      </c>
      <c r="E4" s="10">
        <f>1344.8*1000</f>
        <v>1344800</v>
      </c>
      <c r="F4" s="18">
        <f>1289.3*1000</f>
        <v>1289300</v>
      </c>
      <c r="G4" s="7"/>
      <c r="H4" s="1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8" t="s">
        <v>41</v>
      </c>
      <c r="B5" s="18">
        <f>436.1*1000</f>
        <v>436100</v>
      </c>
      <c r="C5" s="10">
        <f>408.8*1000</f>
        <v>408800</v>
      </c>
      <c r="D5" s="9">
        <f>449.7*1000</f>
        <v>449700</v>
      </c>
      <c r="E5" s="7"/>
      <c r="F5" s="1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8" t="s">
        <v>42</v>
      </c>
      <c r="B6" s="10">
        <f>1308.8*1000</f>
        <v>1308800</v>
      </c>
      <c r="C6" s="10">
        <f>1300.9*1000</f>
        <v>1300900</v>
      </c>
      <c r="D6" s="9">
        <f>1366.8*1000</f>
        <v>1366800</v>
      </c>
      <c r="E6" s="10">
        <f>1378.3*1000</f>
        <v>1378300</v>
      </c>
      <c r="F6" s="18">
        <f>1378.7*1000</f>
        <v>1378700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8" t="s">
        <v>43</v>
      </c>
      <c r="B7" s="9">
        <f>2653.6*1000</f>
        <v>2653600</v>
      </c>
      <c r="C7" s="10">
        <f>1898.2*1000</f>
        <v>1898200</v>
      </c>
      <c r="D7" s="9">
        <f>1801.7*1000</f>
        <v>1801700</v>
      </c>
      <c r="E7" s="10">
        <f>1534*1000</f>
        <v>1534000</v>
      </c>
      <c r="F7" s="18">
        <f>1483.5*1000</f>
        <v>1483500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8" t="s">
        <v>44</v>
      </c>
      <c r="B8" s="9">
        <f>185.6*1000</f>
        <v>185600</v>
      </c>
      <c r="C8" s="10">
        <f>162*1000</f>
        <v>162000</v>
      </c>
      <c r="D8" s="9">
        <f>123*1000</f>
        <v>123000</v>
      </c>
      <c r="E8" s="10">
        <f>59.7*1000</f>
        <v>59700</v>
      </c>
      <c r="F8" s="18">
        <f>43*1000</f>
        <v>43000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6" t="s">
        <v>45</v>
      </c>
      <c r="B9" s="27">
        <f>5931.3*1000</f>
        <v>5931300</v>
      </c>
      <c r="C9" s="28">
        <f>5097.1*1000</f>
        <v>5097100</v>
      </c>
      <c r="D9" s="27">
        <f>5065.1*1000</f>
        <v>5065100</v>
      </c>
      <c r="E9" s="28">
        <f>4316.8*1000</f>
        <v>4316800</v>
      </c>
      <c r="F9" s="26">
        <f>4194.5*1000</f>
        <v>4194500</v>
      </c>
      <c r="G9" s="29"/>
      <c r="H9" s="30">
        <f>(8956100-1523200-3732500)</f>
        <v>3700400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18" t="s">
        <v>5</v>
      </c>
      <c r="B10" s="9">
        <f>761.6*1000</f>
        <v>761600</v>
      </c>
      <c r="C10" s="9">
        <f>701.5*1000</f>
        <v>701500</v>
      </c>
      <c r="D10" s="9">
        <f>750.1*1000</f>
        <v>750100</v>
      </c>
      <c r="E10" s="9">
        <f>752.2*1000</f>
        <v>752200</v>
      </c>
      <c r="F10" s="18">
        <f>731.4*1000</f>
        <v>731400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8" t="s">
        <v>46</v>
      </c>
      <c r="B11" s="9">
        <f>895.3*1000</f>
        <v>895300</v>
      </c>
      <c r="C11" s="10">
        <f>825*1000</f>
        <v>825000</v>
      </c>
      <c r="D11" s="9">
        <f>973.8*1000</f>
        <v>973800</v>
      </c>
      <c r="E11" s="10">
        <f>1023.2*1000</f>
        <v>1023200</v>
      </c>
      <c r="F11" s="18">
        <f>1047.5*1000</f>
        <v>1047500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8" t="s">
        <v>47</v>
      </c>
      <c r="B12" s="9">
        <f>109.5*1000</f>
        <v>109500</v>
      </c>
      <c r="C12" s="10">
        <f>123.9*1000</f>
        <v>123900</v>
      </c>
      <c r="D12" s="9">
        <f>156*1000</f>
        <v>156000</v>
      </c>
      <c r="E12" s="10">
        <f>118.8*1000</f>
        <v>118800</v>
      </c>
      <c r="F12" s="18">
        <f>130.9*1000</f>
        <v>130900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8" t="s">
        <v>48</v>
      </c>
      <c r="B13" s="9">
        <f>47.1*1000</f>
        <v>47100</v>
      </c>
      <c r="C13" s="10">
        <f>29.9*1000</f>
        <v>29900</v>
      </c>
      <c r="D13" s="9">
        <f>3.9*1000</f>
        <v>3900</v>
      </c>
      <c r="E13" s="10">
        <f>2.5*1000</f>
        <v>2500</v>
      </c>
      <c r="F13" s="18">
        <f>4*1000</f>
        <v>4000</v>
      </c>
      <c r="G13" s="7"/>
      <c r="H13" s="18"/>
      <c r="I13" s="18"/>
      <c r="J13" s="18"/>
      <c r="K13" s="18"/>
      <c r="L13" s="1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49</v>
      </c>
      <c r="B14" s="9">
        <f>23.8*1000</f>
        <v>23800</v>
      </c>
      <c r="C14" s="10">
        <f>23.5*1000</f>
        <v>23500</v>
      </c>
      <c r="D14" s="9">
        <f>31.9*1000</f>
        <v>31900</v>
      </c>
      <c r="E14" s="10">
        <f>38.6*1000</f>
        <v>38600</v>
      </c>
      <c r="F14" s="18">
        <f>14.1*1000</f>
        <v>14100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 t="s">
        <v>50</v>
      </c>
      <c r="B15" s="9">
        <f>250.3*1000</f>
        <v>250300</v>
      </c>
      <c r="C15" s="10">
        <f>401.7*1000</f>
        <v>401700</v>
      </c>
      <c r="D15" s="9">
        <f>405.2*1000</f>
        <v>405200</v>
      </c>
      <c r="E15" s="10">
        <f>1.6*1000</f>
        <v>1600</v>
      </c>
      <c r="F15" s="18">
        <f>0.2*1000</f>
        <v>200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3</v>
      </c>
      <c r="B16" s="9">
        <f>937.2*1000</f>
        <v>937200</v>
      </c>
      <c r="C16" s="10">
        <f>848.4*1000</f>
        <v>848400</v>
      </c>
      <c r="D16" s="9">
        <f>654.8*1000</f>
        <v>654800</v>
      </c>
      <c r="E16" s="10">
        <f>996.1*1000</f>
        <v>996100</v>
      </c>
      <c r="F16" s="18">
        <f>853*1000</f>
        <v>853000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6" t="s">
        <v>7</v>
      </c>
      <c r="B17" s="27">
        <f>3024.8*1000</f>
        <v>3024800</v>
      </c>
      <c r="C17" s="27">
        <f>SUM(C10:C16)</f>
        <v>2953900</v>
      </c>
      <c r="D17" s="27">
        <f>2975.7*1000</f>
        <v>2975700</v>
      </c>
      <c r="E17" s="27">
        <f>2933*1000</f>
        <v>2933000</v>
      </c>
      <c r="F17" s="26">
        <f>2781.1*1000</f>
        <v>2781100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31" t="s">
        <v>13</v>
      </c>
      <c r="B18" s="32">
        <f>8956.1*1000</f>
        <v>8956100</v>
      </c>
      <c r="C18" s="32">
        <f>8051*1000</f>
        <v>8051000</v>
      </c>
      <c r="D18" s="32">
        <f>8040.8*1000</f>
        <v>8040800</v>
      </c>
      <c r="E18" s="32">
        <f>7249.8*1000</f>
        <v>7249800</v>
      </c>
      <c r="F18" s="31">
        <f>6975.6*1000</f>
        <v>6975600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1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3" t="s">
        <v>51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8" t="s">
        <v>52</v>
      </c>
      <c r="B21" s="9">
        <f>24.2*1000</f>
        <v>24200</v>
      </c>
      <c r="C21" s="10">
        <f>24*1000</f>
        <v>24000</v>
      </c>
      <c r="D21" s="9">
        <f t="shared" ref="D21:E21" si="1">24.3*1000</f>
        <v>24300</v>
      </c>
      <c r="E21" s="10">
        <f t="shared" si="1"/>
        <v>24300</v>
      </c>
      <c r="F21" s="18">
        <f>24.1*1000</f>
        <v>24100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8" t="s">
        <v>53</v>
      </c>
      <c r="B22" s="9">
        <f>-460.6*1000</f>
        <v>-460600</v>
      </c>
      <c r="C22" s="10">
        <f>-26.7*1000</f>
        <v>-26700</v>
      </c>
      <c r="D22" s="9">
        <f>-399.2*1000</f>
        <v>-399200</v>
      </c>
      <c r="E22" s="10">
        <f>-202.4*1000</f>
        <v>-202400</v>
      </c>
      <c r="F22" s="18">
        <f>-84*1000</f>
        <v>-84000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8" t="s">
        <v>54</v>
      </c>
      <c r="B23" s="9">
        <f>5660*1000</f>
        <v>5660000</v>
      </c>
      <c r="C23" s="10">
        <f>4603.5*1000</f>
        <v>4603500</v>
      </c>
      <c r="D23" s="9">
        <f>5034.7*1000</f>
        <v>5034700</v>
      </c>
      <c r="E23" s="10">
        <f>4655.4*1000</f>
        <v>4655400</v>
      </c>
      <c r="F23" s="18">
        <f>4246.2*1000</f>
        <v>4246200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3" t="s">
        <v>55</v>
      </c>
      <c r="B24" s="34">
        <f>5223.6*1000</f>
        <v>5223600</v>
      </c>
      <c r="C24" s="35">
        <f>4600.8*1000</f>
        <v>4600800</v>
      </c>
      <c r="D24" s="34">
        <f>4659.8*1000</f>
        <v>4659800</v>
      </c>
      <c r="E24" s="35">
        <f>4477.3*1000</f>
        <v>4477300</v>
      </c>
      <c r="F24" s="33">
        <f>4186.3*1000</f>
        <v>4186300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18" t="s">
        <v>56</v>
      </c>
      <c r="B25" s="15"/>
      <c r="C25" s="9">
        <f>5.5*1000</f>
        <v>5500</v>
      </c>
      <c r="D25" s="9">
        <f>10.4*1000</f>
        <v>10400</v>
      </c>
      <c r="E25" s="10">
        <f>9.1*1000</f>
        <v>9100</v>
      </c>
      <c r="F25" s="18">
        <f>8.7*1000</f>
        <v>8700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6" t="s">
        <v>57</v>
      </c>
      <c r="B26" s="37">
        <f>5223.6*1000</f>
        <v>5223600</v>
      </c>
      <c r="C26" s="37">
        <f>4606.3*1000</f>
        <v>4606300</v>
      </c>
      <c r="D26" s="37">
        <f>4670.2*1000</f>
        <v>4670200</v>
      </c>
      <c r="E26" s="37">
        <f>4486.4*1000</f>
        <v>4486400</v>
      </c>
      <c r="F26" s="36">
        <f>4195*1000</f>
        <v>4195000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18"/>
      <c r="B27" s="9"/>
      <c r="C27" s="10"/>
      <c r="D27" s="9"/>
      <c r="E27" s="10"/>
      <c r="F27" s="1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8" t="s">
        <v>58</v>
      </c>
      <c r="B28" s="9">
        <f>997.8*1000</f>
        <v>997800</v>
      </c>
      <c r="C28" s="10">
        <f>997.4*1000</f>
        <v>997400</v>
      </c>
      <c r="D28" s="9">
        <f>498.5*1000</f>
        <v>498500</v>
      </c>
      <c r="E28" s="10">
        <f>997.9*1000</f>
        <v>997900</v>
      </c>
      <c r="F28" s="18">
        <f>997.5*1000</f>
        <v>997500</v>
      </c>
      <c r="G28" s="7">
        <f t="shared" ref="G28:J28" si="2">SUM(B28,B30,B32,B33,B34)</f>
        <v>1577000</v>
      </c>
      <c r="H28" s="7">
        <f t="shared" si="2"/>
        <v>1584700</v>
      </c>
      <c r="I28" s="7">
        <f t="shared" si="2"/>
        <v>1139400</v>
      </c>
      <c r="J28" s="7">
        <f t="shared" si="2"/>
        <v>1267500</v>
      </c>
      <c r="K28" s="7">
        <f>sum(F28,F30,F32,F33,F34)</f>
        <v>1285900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8" t="s">
        <v>59</v>
      </c>
      <c r="B29" s="9"/>
      <c r="C29" s="10"/>
      <c r="D29" s="15"/>
      <c r="E29" s="9">
        <f>0.8*1000</f>
        <v>800</v>
      </c>
      <c r="F29" s="18">
        <f>0.7*1000</f>
        <v>700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8" t="s">
        <v>60</v>
      </c>
      <c r="B30" s="9">
        <f>398.9*1000</f>
        <v>398900</v>
      </c>
      <c r="C30" s="10">
        <f>390.1*1000</f>
        <v>390100</v>
      </c>
      <c r="D30" s="9">
        <f>411.6*1000</f>
        <v>411600</v>
      </c>
      <c r="E30" s="3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8" t="s">
        <v>61</v>
      </c>
      <c r="B31" s="9">
        <f>669.8*1000</f>
        <v>669800</v>
      </c>
      <c r="C31" s="10">
        <f>579.7*1000</f>
        <v>579700</v>
      </c>
      <c r="D31" s="9">
        <f>541.5*1000</f>
        <v>541500</v>
      </c>
      <c r="E31" s="10">
        <f>467*1000</f>
        <v>467000</v>
      </c>
      <c r="F31" s="18">
        <f>444.2*1000</f>
        <v>444200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8" t="s">
        <v>62</v>
      </c>
      <c r="B32" s="9">
        <f>136.7*1000</f>
        <v>136700</v>
      </c>
      <c r="C32" s="10">
        <f>153.5*1000</f>
        <v>153500</v>
      </c>
      <c r="D32" s="9">
        <f>184.7*1000</f>
        <v>184700</v>
      </c>
      <c r="E32" s="10">
        <f>174.9*1000</f>
        <v>174900</v>
      </c>
      <c r="F32" s="18">
        <f>174.8*1000</f>
        <v>174800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8" t="s">
        <v>63</v>
      </c>
      <c r="B33" s="9">
        <f>6*1000</f>
        <v>6000</v>
      </c>
      <c r="C33" s="10">
        <f>6.6*1000</f>
        <v>6600</v>
      </c>
      <c r="D33" s="9">
        <f>5.9*1000</f>
        <v>5900</v>
      </c>
      <c r="E33" s="10">
        <f>6.6*1000</f>
        <v>6600</v>
      </c>
      <c r="F33" s="18">
        <f>7.7*1000</f>
        <v>7700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8" t="s">
        <v>64</v>
      </c>
      <c r="B34" s="9">
        <f>37.6*1000</f>
        <v>37600</v>
      </c>
      <c r="C34" s="10">
        <f>37.1*1000</f>
        <v>37100</v>
      </c>
      <c r="D34" s="9">
        <f>38.7*1000</f>
        <v>38700</v>
      </c>
      <c r="E34" s="10">
        <f>88.1*1000</f>
        <v>88100</v>
      </c>
      <c r="F34" s="18">
        <f>105.9*1000</f>
        <v>105900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26" t="s">
        <v>65</v>
      </c>
      <c r="B35" s="27">
        <f>2246.8*1000</f>
        <v>2246800</v>
      </c>
      <c r="C35" s="28">
        <f>2164.4*1000</f>
        <v>2164400</v>
      </c>
      <c r="D35" s="27">
        <f>1680.9*1000</f>
        <v>1680900</v>
      </c>
      <c r="E35" s="28">
        <f>1735.3*1000</f>
        <v>1735300</v>
      </c>
      <c r="F35" s="26">
        <f>1730.8*1000</f>
        <v>1730800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18" t="s">
        <v>66</v>
      </c>
      <c r="B36" s="9">
        <f>237.9*1000</f>
        <v>237900</v>
      </c>
      <c r="C36" s="10">
        <f>187.4*1000</f>
        <v>187400</v>
      </c>
      <c r="D36" s="9">
        <f>233.9*1000</f>
        <v>233900</v>
      </c>
      <c r="E36" s="10">
        <f>214.2*1000</f>
        <v>214200</v>
      </c>
      <c r="F36" s="18">
        <f>217.3*1000</f>
        <v>217300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8" t="s">
        <v>67</v>
      </c>
      <c r="B37" s="9">
        <f>103.8*1000</f>
        <v>103800</v>
      </c>
      <c r="C37" s="10">
        <f>115.6*1000</f>
        <v>115600</v>
      </c>
      <c r="D37" s="9">
        <f>58.8*1000</f>
        <v>58800</v>
      </c>
      <c r="E37" s="10">
        <f>56.2*1000</f>
        <v>56200</v>
      </c>
      <c r="F37" s="18">
        <f>53.2*1000</f>
        <v>53200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8" t="s">
        <v>60</v>
      </c>
      <c r="B38" s="9">
        <f>70.1*1000</f>
        <v>70100</v>
      </c>
      <c r="C38" s="10">
        <f>68.1*1000</f>
        <v>68100</v>
      </c>
      <c r="D38" s="9">
        <f>67.5*1000</f>
        <v>67500</v>
      </c>
      <c r="E38" s="7"/>
      <c r="F38" s="3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8" t="s">
        <v>68</v>
      </c>
      <c r="B39" s="9">
        <f>120.2*1000</f>
        <v>120200</v>
      </c>
      <c r="C39" s="10">
        <f>90.4*1000</f>
        <v>90400</v>
      </c>
      <c r="D39" s="9">
        <f>99.8*1000</f>
        <v>99800</v>
      </c>
      <c r="E39" s="10">
        <f>52.5*1000</f>
        <v>52500</v>
      </c>
      <c r="F39" s="18">
        <f>55*1000</f>
        <v>55000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8" t="s">
        <v>69</v>
      </c>
      <c r="B40" s="9">
        <f>908.6*1000</f>
        <v>908600</v>
      </c>
      <c r="C40" s="10">
        <f>745.4*1000</f>
        <v>745400</v>
      </c>
      <c r="D40" s="9">
        <f>693*1000</f>
        <v>693000</v>
      </c>
      <c r="E40" s="10">
        <f>666.4*1000</f>
        <v>666400</v>
      </c>
      <c r="F40" s="18">
        <f>677.6*1000</f>
        <v>677600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8" t="s">
        <v>70</v>
      </c>
      <c r="B41" s="9">
        <f>13.7*1000</f>
        <v>13700</v>
      </c>
      <c r="C41" s="10">
        <f>9.6*1000</f>
        <v>9600</v>
      </c>
      <c r="D41" s="9">
        <f>10.6*1000</f>
        <v>10600</v>
      </c>
      <c r="E41" s="10">
        <f>12.1*1000</f>
        <v>12100</v>
      </c>
      <c r="F41" s="18">
        <f>37.5*1000</f>
        <v>37500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8" t="s">
        <v>64</v>
      </c>
      <c r="B42" s="9">
        <f>16*1000</f>
        <v>16000</v>
      </c>
      <c r="C42" s="10">
        <f>59.9*1000</f>
        <v>59900</v>
      </c>
      <c r="D42" s="9">
        <f>20.6*1000</f>
        <v>20600</v>
      </c>
      <c r="E42" s="10">
        <f>14.4*1000</f>
        <v>14400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8" t="s">
        <v>58</v>
      </c>
      <c r="B43" s="9"/>
      <c r="C43" s="10"/>
      <c r="D43" s="9">
        <f>499.9*1000</f>
        <v>499900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8" t="s">
        <v>71</v>
      </c>
      <c r="B44" s="9">
        <f>15.4*1000</f>
        <v>15400</v>
      </c>
      <c r="C44" s="10">
        <f>3.9*1000</f>
        <v>3900</v>
      </c>
      <c r="D44" s="9">
        <f>5.6*1000</f>
        <v>5600</v>
      </c>
      <c r="E44" s="10">
        <f>12.3*1000</f>
        <v>12300</v>
      </c>
      <c r="F44" s="18">
        <f>9.2*1000</f>
        <v>9200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6" t="s">
        <v>21</v>
      </c>
      <c r="B45" s="37">
        <f>1485.7*1000</f>
        <v>1485700</v>
      </c>
      <c r="C45" s="37">
        <f>1280.3*1000</f>
        <v>1280300</v>
      </c>
      <c r="D45" s="37">
        <f>1689.7*1000</f>
        <v>1689700</v>
      </c>
      <c r="E45" s="37">
        <f>1028.1*1000</f>
        <v>1028100</v>
      </c>
      <c r="F45" s="36">
        <f>1049.8*1000</f>
        <v>1049800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31" t="s">
        <v>24</v>
      </c>
      <c r="B46" s="32">
        <f>3732.5*1000</f>
        <v>3732500</v>
      </c>
      <c r="C46" s="32">
        <f>3444.7*1000</f>
        <v>3444700</v>
      </c>
      <c r="D46" s="32">
        <f>3370.6*1000</f>
        <v>3370600</v>
      </c>
      <c r="E46" s="32">
        <f>2763.4*1000</f>
        <v>2763400</v>
      </c>
      <c r="F46" s="31">
        <f>2780.6*1000</f>
        <v>2780600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18"/>
      <c r="B47" s="9"/>
      <c r="C47" s="10"/>
      <c r="D47" s="9"/>
      <c r="E47" s="10"/>
      <c r="F47" s="1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1" t="s">
        <v>72</v>
      </c>
      <c r="B48" s="32">
        <f>8956.1*1000</f>
        <v>8956100</v>
      </c>
      <c r="C48" s="32">
        <f>8051*1000</f>
        <v>8051000</v>
      </c>
      <c r="D48" s="32">
        <f>8040.8*1000</f>
        <v>8040800</v>
      </c>
      <c r="E48" s="32">
        <f>7249.8*1000</f>
        <v>7249800</v>
      </c>
      <c r="F48" s="31">
        <f>6975.6*1000</f>
        <v>6975600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30.25"/>
  </cols>
  <sheetData>
    <row r="1">
      <c r="A1" s="39"/>
      <c r="B1" s="40" t="s">
        <v>73</v>
      </c>
      <c r="C1" s="41"/>
      <c r="D1" s="41"/>
      <c r="E1" s="41"/>
      <c r="F1" s="42"/>
      <c r="G1" s="40" t="s">
        <v>74</v>
      </c>
      <c r="H1" s="41"/>
      <c r="I1" s="41"/>
      <c r="J1" s="41"/>
      <c r="K1" s="41"/>
    </row>
    <row r="2">
      <c r="A2" s="43" t="s">
        <v>75</v>
      </c>
      <c r="B2" s="44">
        <v>2021.0</v>
      </c>
      <c r="C2" s="44">
        <v>2020.0</v>
      </c>
      <c r="D2" s="44">
        <v>2019.0</v>
      </c>
      <c r="E2" s="44">
        <v>2018.0</v>
      </c>
      <c r="F2" s="45">
        <v>2017.0</v>
      </c>
      <c r="G2" s="44">
        <v>2021.0</v>
      </c>
      <c r="H2" s="44">
        <v>2020.0</v>
      </c>
      <c r="I2" s="44">
        <v>2019.0</v>
      </c>
      <c r="J2" s="44">
        <v>2018.0</v>
      </c>
      <c r="K2" s="44">
        <v>2017.0</v>
      </c>
    </row>
    <row r="3">
      <c r="B3" s="46" t="s">
        <v>76</v>
      </c>
      <c r="C3" s="46" t="s">
        <v>76</v>
      </c>
      <c r="D3" s="46" t="s">
        <v>76</v>
      </c>
      <c r="E3" s="46" t="s">
        <v>76</v>
      </c>
      <c r="F3" s="47" t="s">
        <v>76</v>
      </c>
      <c r="G3" s="46" t="s">
        <v>76</v>
      </c>
      <c r="H3" s="46" t="s">
        <v>76</v>
      </c>
      <c r="I3" s="46" t="s">
        <v>76</v>
      </c>
      <c r="J3" s="46" t="s">
        <v>76</v>
      </c>
      <c r="K3" s="46" t="s">
        <v>76</v>
      </c>
    </row>
    <row r="4">
      <c r="A4" s="48" t="s">
        <v>77</v>
      </c>
      <c r="B4" s="49">
        <f>937.2*1000</f>
        <v>937200</v>
      </c>
      <c r="C4" s="50">
        <f>848.4*1000</f>
        <v>848400</v>
      </c>
      <c r="D4" s="49">
        <f>654.8*1000</f>
        <v>654800</v>
      </c>
      <c r="E4" s="50">
        <f>996.1*1000</f>
        <v>996100</v>
      </c>
      <c r="F4" s="51">
        <f>853*1000</f>
        <v>853000</v>
      </c>
      <c r="G4" s="49">
        <v>329266.0</v>
      </c>
      <c r="H4" s="49">
        <v>1143987.0</v>
      </c>
      <c r="I4" s="49">
        <v>493262.0</v>
      </c>
      <c r="J4" s="49">
        <v>587998.0</v>
      </c>
      <c r="K4" s="49">
        <v>380179.0</v>
      </c>
    </row>
    <row r="5">
      <c r="A5" s="52" t="s">
        <v>78</v>
      </c>
      <c r="B5" s="49">
        <f>895.3*1000</f>
        <v>895300</v>
      </c>
      <c r="C5" s="50">
        <f>825*1000</f>
        <v>825000</v>
      </c>
      <c r="D5" s="49">
        <f>973.8*1000</f>
        <v>973800</v>
      </c>
      <c r="E5" s="50">
        <f>1023.2*1000</f>
        <v>1023200</v>
      </c>
      <c r="F5" s="51">
        <f>1047.5*1000</f>
        <v>1047500</v>
      </c>
      <c r="G5" s="49">
        <v>671464.0</v>
      </c>
      <c r="H5" s="50">
        <v>615233.0</v>
      </c>
      <c r="I5" s="49">
        <v>568509.0</v>
      </c>
      <c r="J5" s="49">
        <v>594145.0</v>
      </c>
      <c r="K5" s="49">
        <v>588262.0</v>
      </c>
    </row>
    <row r="6">
      <c r="A6" s="52" t="s">
        <v>79</v>
      </c>
      <c r="B6" s="49">
        <f>109.5*1000</f>
        <v>109500</v>
      </c>
      <c r="C6" s="50">
        <f>123.9*1000</f>
        <v>123900</v>
      </c>
      <c r="D6" s="49">
        <f>156*1000</f>
        <v>156000</v>
      </c>
      <c r="E6" s="50">
        <f>118.8*1000</f>
        <v>118800</v>
      </c>
      <c r="F6" s="51">
        <f>130.9*1000</f>
        <v>130900</v>
      </c>
      <c r="G6" s="53"/>
      <c r="H6" s="53"/>
      <c r="I6" s="53"/>
      <c r="J6" s="53"/>
      <c r="K6" s="53"/>
    </row>
    <row r="7">
      <c r="A7" s="54" t="s">
        <v>5</v>
      </c>
      <c r="B7" s="50">
        <f>761.6*1000</f>
        <v>761600</v>
      </c>
      <c r="C7" s="50">
        <f>701.5*1000</f>
        <v>701500</v>
      </c>
      <c r="D7" s="50">
        <f>750.1*1000</f>
        <v>750100</v>
      </c>
      <c r="E7" s="50">
        <f>752.2*1000</f>
        <v>752200</v>
      </c>
      <c r="F7" s="55">
        <f>731.4*1000</f>
        <v>731400</v>
      </c>
      <c r="G7" s="50">
        <v>988511.0</v>
      </c>
      <c r="H7" s="50">
        <v>964207.0</v>
      </c>
      <c r="I7" s="50">
        <v>815251.0</v>
      </c>
      <c r="J7" s="50">
        <v>784879.0</v>
      </c>
      <c r="K7" s="50">
        <v>752836.0</v>
      </c>
    </row>
    <row r="8">
      <c r="A8" s="54" t="s">
        <v>80</v>
      </c>
      <c r="B8" s="56">
        <f>47.1*1000+23800 + 250300</f>
        <v>321200</v>
      </c>
      <c r="C8" s="57">
        <f>29.9*1000+23500+401700</f>
        <v>455100</v>
      </c>
      <c r="D8" s="56">
        <f>3.9*1000+31900+405200</f>
        <v>441000</v>
      </c>
      <c r="E8" s="57">
        <f>2.5*1000+38600+1600</f>
        <v>42700</v>
      </c>
      <c r="F8" s="58">
        <f>4*1000+14100+200</f>
        <v>18300</v>
      </c>
      <c r="G8" s="56">
        <v>256965.0</v>
      </c>
      <c r="H8" s="57">
        <v>254478.0</v>
      </c>
      <c r="I8" s="56">
        <v>240080.0</v>
      </c>
      <c r="J8" s="56">
        <v>272159.0</v>
      </c>
      <c r="K8" s="56">
        <v>280633.0</v>
      </c>
    </row>
    <row r="9">
      <c r="A9" s="59" t="s">
        <v>81</v>
      </c>
      <c r="B9" s="60">
        <f t="shared" ref="B9:K9" si="1">SUM(B4:B8)</f>
        <v>3024800</v>
      </c>
      <c r="C9" s="60">
        <f t="shared" si="1"/>
        <v>2953900</v>
      </c>
      <c r="D9" s="60">
        <f t="shared" si="1"/>
        <v>2975700</v>
      </c>
      <c r="E9" s="60">
        <f t="shared" si="1"/>
        <v>2933000</v>
      </c>
      <c r="F9" s="61">
        <f t="shared" si="1"/>
        <v>2781100</v>
      </c>
      <c r="G9" s="62">
        <f t="shared" si="1"/>
        <v>2246206</v>
      </c>
      <c r="H9" s="60">
        <f t="shared" si="1"/>
        <v>2977905</v>
      </c>
      <c r="I9" s="60">
        <f t="shared" si="1"/>
        <v>2117102</v>
      </c>
      <c r="J9" s="60">
        <f t="shared" si="1"/>
        <v>2239181</v>
      </c>
      <c r="K9" s="60">
        <f t="shared" si="1"/>
        <v>2001910</v>
      </c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52" t="s">
        <v>82</v>
      </c>
      <c r="B10" s="49">
        <f>1347.2*1000</f>
        <v>1347200</v>
      </c>
      <c r="C10" s="50">
        <f>1327.2*1000</f>
        <v>1327200</v>
      </c>
      <c r="D10" s="49">
        <f>1323.9*1000</f>
        <v>1323900</v>
      </c>
      <c r="E10" s="50">
        <f>1344.8*1000</f>
        <v>1344800</v>
      </c>
      <c r="F10" s="51">
        <f>1289.3*1000</f>
        <v>1289300</v>
      </c>
      <c r="G10" s="49">
        <v>2586187.0</v>
      </c>
      <c r="H10" s="50">
        <v>2285255.0</v>
      </c>
      <c r="I10" s="49">
        <v>2153139.0</v>
      </c>
      <c r="J10" s="49">
        <v>2130294.0</v>
      </c>
      <c r="K10" s="49">
        <v>2106697.0</v>
      </c>
    </row>
    <row r="11">
      <c r="A11" s="52" t="s">
        <v>83</v>
      </c>
      <c r="B11" s="50">
        <f>1308.8*1000</f>
        <v>1308800</v>
      </c>
      <c r="C11" s="50">
        <f>1300.9*1000</f>
        <v>1300900</v>
      </c>
      <c r="D11" s="49">
        <f>1366.8*1000</f>
        <v>1366800</v>
      </c>
      <c r="E11" s="50">
        <f>1378.3*1000</f>
        <v>1378300</v>
      </c>
      <c r="F11" s="51">
        <f>1378.7*1000</f>
        <v>1378700</v>
      </c>
      <c r="G11" s="64">
        <f>2633174+2037588</f>
        <v>4670762</v>
      </c>
      <c r="H11" s="50">
        <f>1988215+1295214</f>
        <v>3283429</v>
      </c>
      <c r="I11" s="49">
        <f>1985955+1341166</f>
        <v>3327121</v>
      </c>
      <c r="J11" s="49">
        <f>1801103+1278292</f>
        <v>3079395</v>
      </c>
      <c r="K11" s="49">
        <f>821061+369156</f>
        <v>1190217</v>
      </c>
    </row>
    <row r="12">
      <c r="A12" s="52" t="s">
        <v>84</v>
      </c>
      <c r="B12" s="49">
        <f>436.1*1000+2653600</f>
        <v>3089700</v>
      </c>
      <c r="C12" s="50">
        <f>408.8*1000+1898200</f>
        <v>2307000</v>
      </c>
      <c r="D12" s="49">
        <f>449.7*1000+1801700</f>
        <v>2251400</v>
      </c>
      <c r="E12" s="50">
        <f>1534*1000</f>
        <v>1534000</v>
      </c>
      <c r="F12" s="51">
        <f>1483.5*1000</f>
        <v>1483500</v>
      </c>
      <c r="G12" s="49">
        <v>868203.0</v>
      </c>
      <c r="H12" s="50">
        <v>555887.0</v>
      </c>
      <c r="I12" s="49">
        <v>512000.0</v>
      </c>
      <c r="J12" s="49">
        <v>252984.0</v>
      </c>
      <c r="K12" s="49">
        <v>251879.0</v>
      </c>
    </row>
    <row r="13">
      <c r="A13" s="52" t="s">
        <v>85</v>
      </c>
      <c r="B13" s="56">
        <f>185.6*1000</f>
        <v>185600</v>
      </c>
      <c r="C13" s="57">
        <f>162*1000</f>
        <v>162000</v>
      </c>
      <c r="D13" s="56">
        <f>123*1000</f>
        <v>123000</v>
      </c>
      <c r="E13" s="57">
        <f>59.7*1000</f>
        <v>59700</v>
      </c>
      <c r="F13" s="56">
        <f>43*1000</f>
        <v>43000</v>
      </c>
      <c r="G13" s="65">
        <v>40873.0</v>
      </c>
      <c r="H13" s="57">
        <v>29369.0</v>
      </c>
      <c r="I13" s="56">
        <v>31033.0</v>
      </c>
      <c r="J13" s="56">
        <v>1166.0</v>
      </c>
      <c r="K13" s="56">
        <v>3023.0</v>
      </c>
    </row>
    <row r="14">
      <c r="A14" s="66" t="s">
        <v>86</v>
      </c>
      <c r="B14" s="60">
        <f t="shared" ref="B14:K14" si="2">SUM(B10:B13)</f>
        <v>5931300</v>
      </c>
      <c r="C14" s="60">
        <f t="shared" si="2"/>
        <v>5097100</v>
      </c>
      <c r="D14" s="60">
        <f t="shared" si="2"/>
        <v>5065100</v>
      </c>
      <c r="E14" s="60">
        <f t="shared" si="2"/>
        <v>4316800</v>
      </c>
      <c r="F14" s="61">
        <f t="shared" si="2"/>
        <v>4194500</v>
      </c>
      <c r="G14" s="60">
        <f t="shared" si="2"/>
        <v>8166025</v>
      </c>
      <c r="H14" s="60">
        <f t="shared" si="2"/>
        <v>6153940</v>
      </c>
      <c r="I14" s="60">
        <f t="shared" si="2"/>
        <v>6023293</v>
      </c>
      <c r="J14" s="60">
        <f t="shared" si="2"/>
        <v>5463839</v>
      </c>
      <c r="K14" s="60">
        <f t="shared" si="2"/>
        <v>3551816</v>
      </c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59" t="s">
        <v>87</v>
      </c>
      <c r="B15" s="60">
        <f t="shared" ref="B15:K15" si="3">SUM(B9,B14)</f>
        <v>8956100</v>
      </c>
      <c r="C15" s="60">
        <f t="shared" si="3"/>
        <v>8051000</v>
      </c>
      <c r="D15" s="60">
        <f t="shared" si="3"/>
        <v>8040800</v>
      </c>
      <c r="E15" s="60">
        <f t="shared" si="3"/>
        <v>7249800</v>
      </c>
      <c r="F15" s="61">
        <f t="shared" si="3"/>
        <v>6975600</v>
      </c>
      <c r="G15" s="60">
        <f t="shared" si="3"/>
        <v>10412231</v>
      </c>
      <c r="H15" s="60">
        <f t="shared" si="3"/>
        <v>9131845</v>
      </c>
      <c r="I15" s="60">
        <f t="shared" si="3"/>
        <v>8140395</v>
      </c>
      <c r="J15" s="60">
        <f t="shared" si="3"/>
        <v>7703020</v>
      </c>
      <c r="K15" s="60">
        <f t="shared" si="3"/>
        <v>5553726</v>
      </c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52" t="s">
        <v>88</v>
      </c>
      <c r="B16" s="49">
        <f>237.9*1000+103800</f>
        <v>341700</v>
      </c>
      <c r="C16" s="50">
        <f>187.4*1000+115600</f>
        <v>303000</v>
      </c>
      <c r="D16" s="49">
        <f>233.9*1000+58800</f>
        <v>292700</v>
      </c>
      <c r="E16" s="50">
        <f>214.2*1000+56200</f>
        <v>270400</v>
      </c>
      <c r="F16" s="51">
        <f>217.3*1000+53200</f>
        <v>270500</v>
      </c>
      <c r="G16" s="49">
        <v>692338.0</v>
      </c>
      <c r="H16" s="50">
        <v>580058.0</v>
      </c>
      <c r="I16" s="49">
        <v>550828.0</v>
      </c>
      <c r="J16" s="49">
        <v>502314.0</v>
      </c>
      <c r="K16" s="49">
        <v>523229.0</v>
      </c>
    </row>
    <row r="17">
      <c r="A17" s="52" t="s">
        <v>89</v>
      </c>
      <c r="B17" s="49">
        <f>15.4*1000</f>
        <v>15400</v>
      </c>
      <c r="C17" s="50">
        <f>3.9*1000</f>
        <v>3900</v>
      </c>
      <c r="D17" s="49">
        <f>5.6*1000</f>
        <v>5600</v>
      </c>
      <c r="E17" s="50">
        <f>12.3*1000</f>
        <v>12300</v>
      </c>
      <c r="F17" s="51">
        <f>9.2*1000</f>
        <v>9200</v>
      </c>
      <c r="G17" s="49">
        <v>939423.0</v>
      </c>
      <c r="H17" s="50">
        <v>74041.0</v>
      </c>
      <c r="I17" s="49">
        <v>32282.0</v>
      </c>
      <c r="J17" s="49">
        <v>1197929.0</v>
      </c>
      <c r="K17" s="49">
        <v>559359.0</v>
      </c>
    </row>
    <row r="18">
      <c r="A18" s="52" t="s">
        <v>90</v>
      </c>
      <c r="B18" s="67">
        <v>1128600.0</v>
      </c>
      <c r="C18" s="68">
        <v>973400.0</v>
      </c>
      <c r="D18" s="68">
        <v>1391400.0</v>
      </c>
      <c r="E18" s="68">
        <v>745400.0</v>
      </c>
      <c r="F18" s="69">
        <v>770100.0</v>
      </c>
      <c r="G18" s="56">
        <f>855638+2844+3070</f>
        <v>861552</v>
      </c>
      <c r="H18" s="57">
        <f>781766+438829+17051</f>
        <v>1237646</v>
      </c>
      <c r="I18" s="56">
        <f>702372+703390+19921</f>
        <v>1425683</v>
      </c>
      <c r="J18" s="56">
        <f>679163+5387+33773</f>
        <v>718323</v>
      </c>
      <c r="K18" s="56">
        <f>676134+300098+17723</f>
        <v>993955</v>
      </c>
    </row>
    <row r="19">
      <c r="A19" s="70" t="s">
        <v>91</v>
      </c>
      <c r="B19" s="60">
        <f t="shared" ref="B19:K19" si="4">SUM(B16:B18)</f>
        <v>1485700</v>
      </c>
      <c r="C19" s="60">
        <f t="shared" si="4"/>
        <v>1280300</v>
      </c>
      <c r="D19" s="60">
        <f t="shared" si="4"/>
        <v>1689700</v>
      </c>
      <c r="E19" s="60">
        <f t="shared" si="4"/>
        <v>1028100</v>
      </c>
      <c r="F19" s="61">
        <f t="shared" si="4"/>
        <v>1049800</v>
      </c>
      <c r="G19" s="60">
        <f t="shared" si="4"/>
        <v>2493313</v>
      </c>
      <c r="H19" s="60">
        <f t="shared" si="4"/>
        <v>1891745</v>
      </c>
      <c r="I19" s="60">
        <f t="shared" si="4"/>
        <v>2008793</v>
      </c>
      <c r="J19" s="60">
        <f t="shared" si="4"/>
        <v>2418566</v>
      </c>
      <c r="K19" s="60">
        <f t="shared" si="4"/>
        <v>2076543</v>
      </c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52" t="s">
        <v>92</v>
      </c>
      <c r="B20" s="71"/>
      <c r="C20" s="72"/>
      <c r="D20" s="71"/>
      <c r="E20" s="49">
        <f>0.8*1000</f>
        <v>800</v>
      </c>
      <c r="F20" s="51">
        <f>0.7*1000</f>
        <v>700</v>
      </c>
      <c r="G20" s="49">
        <v>4086627.0</v>
      </c>
      <c r="H20" s="50">
        <v>4089755.0</v>
      </c>
      <c r="I20" s="49">
        <v>3530813.0</v>
      </c>
      <c r="J20" s="49">
        <v>3254280.0</v>
      </c>
      <c r="K20" s="49">
        <v>2061023.0</v>
      </c>
    </row>
    <row r="21">
      <c r="A21" s="52" t="s">
        <v>93</v>
      </c>
      <c r="B21" s="73">
        <v>1577000.0</v>
      </c>
      <c r="C21" s="73">
        <v>1584700.0</v>
      </c>
      <c r="D21" s="73">
        <v>1139400.0</v>
      </c>
      <c r="E21" s="73">
        <v>1267500.0</v>
      </c>
      <c r="F21" s="74">
        <v>1285900.0</v>
      </c>
      <c r="G21" s="49">
        <v>787058.0</v>
      </c>
      <c r="H21" s="50">
        <v>683434.0</v>
      </c>
      <c r="I21" s="49">
        <v>655777.0</v>
      </c>
      <c r="J21" s="49">
        <v>446048.0</v>
      </c>
      <c r="K21" s="49">
        <v>438939.0</v>
      </c>
    </row>
    <row r="22">
      <c r="A22" s="54" t="s">
        <v>61</v>
      </c>
      <c r="B22" s="56">
        <f>669.8*1000</f>
        <v>669800</v>
      </c>
      <c r="C22" s="57">
        <f>579.7*1000</f>
        <v>579700</v>
      </c>
      <c r="D22" s="56">
        <f>541.5*1000</f>
        <v>541500</v>
      </c>
      <c r="E22" s="57">
        <f>467*1000</f>
        <v>467000</v>
      </c>
      <c r="F22" s="56">
        <f>444.2*1000</f>
        <v>444200</v>
      </c>
      <c r="G22" s="65">
        <v>288004.0</v>
      </c>
      <c r="H22" s="57">
        <v>229028.0</v>
      </c>
      <c r="I22" s="56">
        <v>200018.0</v>
      </c>
      <c r="J22" s="56">
        <v>176860.0</v>
      </c>
      <c r="K22" s="56">
        <v>45656.0</v>
      </c>
    </row>
    <row r="23">
      <c r="A23" s="59" t="s">
        <v>94</v>
      </c>
      <c r="B23" s="60">
        <f t="shared" ref="B23:K23" si="5">SUM(B20:B22)</f>
        <v>2246800</v>
      </c>
      <c r="C23" s="60">
        <f t="shared" si="5"/>
        <v>2164400</v>
      </c>
      <c r="D23" s="60">
        <f t="shared" si="5"/>
        <v>1680900</v>
      </c>
      <c r="E23" s="60">
        <f t="shared" si="5"/>
        <v>1735300</v>
      </c>
      <c r="F23" s="61">
        <f t="shared" si="5"/>
        <v>1730800</v>
      </c>
      <c r="G23" s="60">
        <f t="shared" si="5"/>
        <v>5161689</v>
      </c>
      <c r="H23" s="60">
        <f t="shared" si="5"/>
        <v>5002217</v>
      </c>
      <c r="I23" s="60">
        <f t="shared" si="5"/>
        <v>4386608</v>
      </c>
      <c r="J23" s="60">
        <f t="shared" si="5"/>
        <v>3877188</v>
      </c>
      <c r="K23" s="60">
        <f t="shared" si="5"/>
        <v>2545618</v>
      </c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59" t="s">
        <v>95</v>
      </c>
      <c r="B24" s="60">
        <f t="shared" ref="B24:K24" si="6">SUM(B19,B23)</f>
        <v>3732500</v>
      </c>
      <c r="C24" s="60">
        <f t="shared" si="6"/>
        <v>3444700</v>
      </c>
      <c r="D24" s="60">
        <f t="shared" si="6"/>
        <v>3370600</v>
      </c>
      <c r="E24" s="60">
        <f t="shared" si="6"/>
        <v>2763400</v>
      </c>
      <c r="F24" s="61">
        <f t="shared" si="6"/>
        <v>2780600</v>
      </c>
      <c r="G24" s="60">
        <f t="shared" si="6"/>
        <v>7655002</v>
      </c>
      <c r="H24" s="60">
        <f t="shared" si="6"/>
        <v>6893962</v>
      </c>
      <c r="I24" s="60">
        <f t="shared" si="6"/>
        <v>6395401</v>
      </c>
      <c r="J24" s="60">
        <f t="shared" si="6"/>
        <v>6295754</v>
      </c>
      <c r="K24" s="60">
        <f t="shared" si="6"/>
        <v>4622161</v>
      </c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54" t="s">
        <v>52</v>
      </c>
      <c r="B25" s="49">
        <f>24.2*1000</f>
        <v>24200</v>
      </c>
      <c r="C25" s="50">
        <f>24*1000</f>
        <v>24000</v>
      </c>
      <c r="D25" s="49">
        <f t="shared" ref="D25:E25" si="7">24.3*1000</f>
        <v>24300</v>
      </c>
      <c r="E25" s="50">
        <f t="shared" si="7"/>
        <v>24300</v>
      </c>
      <c r="F25" s="51">
        <f>24.1*1000</f>
        <v>24100</v>
      </c>
      <c r="G25" s="50">
        <f>160939+60614+1260331</f>
        <v>1481884</v>
      </c>
      <c r="H25" s="50">
        <f>160939+60614+1191200</f>
        <v>1412753</v>
      </c>
      <c r="I25" s="50">
        <f>160939+60614+1142210</f>
        <v>1363763</v>
      </c>
      <c r="J25" s="50">
        <f>299287+60614+982205</f>
        <v>1342106</v>
      </c>
      <c r="K25" s="50">
        <f>299281+60620+924978</f>
        <v>1284879</v>
      </c>
    </row>
    <row r="26">
      <c r="A26" s="71" t="s">
        <v>53</v>
      </c>
      <c r="B26" s="49">
        <f>-460.6*1000</f>
        <v>-460600</v>
      </c>
      <c r="C26" s="50">
        <f>-26.7*1000</f>
        <v>-26700</v>
      </c>
      <c r="D26" s="49">
        <f>-399.2*1000</f>
        <v>-399200</v>
      </c>
      <c r="E26" s="50">
        <f>-202.4*1000</f>
        <v>-202400</v>
      </c>
      <c r="F26" s="51">
        <f>-84*1000</f>
        <v>-84000</v>
      </c>
      <c r="G26" s="49">
        <v>-1195376.0</v>
      </c>
      <c r="H26" s="50">
        <v>-768992.0</v>
      </c>
      <c r="I26" s="49">
        <v>-591036.0</v>
      </c>
      <c r="J26" s="49">
        <v>-6618625.0</v>
      </c>
      <c r="K26" s="49">
        <v>-6426877.0</v>
      </c>
    </row>
    <row r="27">
      <c r="A27" s="52" t="s">
        <v>96</v>
      </c>
      <c r="B27" s="49">
        <f>5660*1000</f>
        <v>5660000</v>
      </c>
      <c r="C27" s="50">
        <f>4603.5*1000</f>
        <v>4603500</v>
      </c>
      <c r="D27" s="49">
        <f>5034.7*1000</f>
        <v>5034700</v>
      </c>
      <c r="E27" s="50">
        <f>4655.4*1000</f>
        <v>4655400</v>
      </c>
      <c r="F27" s="51">
        <f>4246.2*1000</f>
        <v>4246200</v>
      </c>
      <c r="G27" s="64">
        <f>2719936-249215</f>
        <v>2470721</v>
      </c>
      <c r="H27" s="50">
        <f>1928673-338082</f>
        <v>1590591</v>
      </c>
      <c r="I27" s="49">
        <f>1290461-323966</f>
        <v>966495</v>
      </c>
      <c r="J27" s="49">
        <f>7032020-356780</f>
        <v>6675240</v>
      </c>
      <c r="K27" s="49">
        <f>6371082-313746</f>
        <v>6057336</v>
      </c>
    </row>
    <row r="28">
      <c r="A28" s="75" t="s">
        <v>55</v>
      </c>
      <c r="B28" s="76">
        <f t="shared" ref="B28:K28" si="8">SUM(B25:B27)</f>
        <v>5223600</v>
      </c>
      <c r="C28" s="76">
        <f t="shared" si="8"/>
        <v>4600800</v>
      </c>
      <c r="D28" s="76">
        <f t="shared" si="8"/>
        <v>4659800</v>
      </c>
      <c r="E28" s="76">
        <f t="shared" si="8"/>
        <v>4477300</v>
      </c>
      <c r="F28" s="77">
        <f t="shared" si="8"/>
        <v>4186300</v>
      </c>
      <c r="G28" s="76">
        <f t="shared" si="8"/>
        <v>2757229</v>
      </c>
      <c r="H28" s="76">
        <f t="shared" si="8"/>
        <v>2234352</v>
      </c>
      <c r="I28" s="76">
        <f t="shared" si="8"/>
        <v>1739222</v>
      </c>
      <c r="J28" s="76">
        <f t="shared" si="8"/>
        <v>1398721</v>
      </c>
      <c r="K28" s="76">
        <f t="shared" si="8"/>
        <v>915338</v>
      </c>
    </row>
    <row r="29">
      <c r="A29" s="71" t="s">
        <v>56</v>
      </c>
      <c r="B29" s="71"/>
      <c r="C29" s="49">
        <f>5.5*1000</f>
        <v>5500</v>
      </c>
      <c r="D29" s="49">
        <f>10.4*1000</f>
        <v>10400</v>
      </c>
      <c r="E29" s="50">
        <f>9.1*1000</f>
        <v>9100</v>
      </c>
      <c r="F29" s="49">
        <f>8.7*1000</f>
        <v>8700</v>
      </c>
      <c r="G29" s="78"/>
      <c r="H29" s="49">
        <v>3531.0</v>
      </c>
      <c r="I29" s="49">
        <v>5772.0</v>
      </c>
      <c r="J29" s="49">
        <v>8545.0</v>
      </c>
      <c r="K29" s="49">
        <v>16227.0</v>
      </c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>
      <c r="A30" s="59" t="s">
        <v>97</v>
      </c>
      <c r="B30" s="60">
        <f t="shared" ref="B30:K30" si="9">SUM(B28:B29)</f>
        <v>5223600</v>
      </c>
      <c r="C30" s="60">
        <f t="shared" si="9"/>
        <v>4606300</v>
      </c>
      <c r="D30" s="60">
        <f t="shared" si="9"/>
        <v>4670200</v>
      </c>
      <c r="E30" s="60">
        <f t="shared" si="9"/>
        <v>4486400</v>
      </c>
      <c r="F30" s="61">
        <f t="shared" si="9"/>
        <v>4195000</v>
      </c>
      <c r="G30" s="60">
        <f t="shared" si="9"/>
        <v>2757229</v>
      </c>
      <c r="H30" s="60">
        <f t="shared" si="9"/>
        <v>2237883</v>
      </c>
      <c r="I30" s="60">
        <f t="shared" si="9"/>
        <v>1744994</v>
      </c>
      <c r="J30" s="60">
        <f t="shared" si="9"/>
        <v>1407266</v>
      </c>
      <c r="K30" s="60">
        <f t="shared" si="9"/>
        <v>931565</v>
      </c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59" t="s">
        <v>98</v>
      </c>
      <c r="B31" s="60">
        <f t="shared" ref="B31:K31" si="10">SUM(B24,B30)</f>
        <v>8956100</v>
      </c>
      <c r="C31" s="60">
        <f t="shared" si="10"/>
        <v>8051000</v>
      </c>
      <c r="D31" s="60">
        <f t="shared" si="10"/>
        <v>8040800</v>
      </c>
      <c r="E31" s="60">
        <f t="shared" si="10"/>
        <v>7249800</v>
      </c>
      <c r="F31" s="61">
        <f t="shared" si="10"/>
        <v>6975600</v>
      </c>
      <c r="G31" s="60">
        <f t="shared" si="10"/>
        <v>10412231</v>
      </c>
      <c r="H31" s="60">
        <f t="shared" si="10"/>
        <v>9131845</v>
      </c>
      <c r="I31" s="60">
        <f t="shared" si="10"/>
        <v>8140395</v>
      </c>
      <c r="J31" s="60">
        <f t="shared" si="10"/>
        <v>7703020</v>
      </c>
      <c r="K31" s="60">
        <f t="shared" si="10"/>
        <v>5553726</v>
      </c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80"/>
      <c r="F32" s="81"/>
    </row>
    <row r="33">
      <c r="A33" s="59" t="s">
        <v>99</v>
      </c>
      <c r="B33" s="63"/>
      <c r="C33" s="63"/>
      <c r="D33" s="63"/>
      <c r="E33" s="63"/>
      <c r="F33" s="82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80"/>
      <c r="F34" s="81"/>
    </row>
    <row r="35">
      <c r="A35" s="80"/>
      <c r="F35" s="81"/>
    </row>
    <row r="36">
      <c r="A36" s="83"/>
      <c r="F36" s="81"/>
    </row>
    <row r="37">
      <c r="A37" s="80"/>
      <c r="F37" s="81"/>
    </row>
    <row r="38">
      <c r="A38" s="80"/>
      <c r="F38" s="81"/>
    </row>
    <row r="39">
      <c r="A39" s="80"/>
      <c r="F39" s="81"/>
    </row>
    <row r="40">
      <c r="A40" s="80"/>
      <c r="F40" s="81"/>
    </row>
    <row r="41">
      <c r="A41" s="80"/>
      <c r="F41" s="81"/>
    </row>
    <row r="42">
      <c r="A42" s="80"/>
      <c r="F42" s="81"/>
    </row>
    <row r="43">
      <c r="A43" s="83"/>
      <c r="F43" s="81"/>
    </row>
    <row r="44">
      <c r="A44" s="80"/>
      <c r="F44" s="81"/>
    </row>
    <row r="45">
      <c r="A45" s="80"/>
      <c r="F45" s="81"/>
    </row>
    <row r="46">
      <c r="A46" s="80"/>
      <c r="F46" s="81"/>
    </row>
    <row r="47">
      <c r="A47" s="80"/>
      <c r="F47" s="81"/>
    </row>
    <row r="48">
      <c r="A48" s="80"/>
      <c r="F48" s="81"/>
    </row>
    <row r="49">
      <c r="A49" s="80"/>
      <c r="F49" s="81"/>
    </row>
    <row r="50">
      <c r="A50" s="80"/>
      <c r="F50" s="81"/>
    </row>
    <row r="51">
      <c r="A51" s="80"/>
      <c r="F51" s="81"/>
    </row>
    <row r="52">
      <c r="A52" s="80"/>
      <c r="F52" s="81"/>
    </row>
    <row r="53">
      <c r="A53" s="83"/>
      <c r="F53" s="81"/>
    </row>
    <row r="54">
      <c r="A54" s="83"/>
      <c r="F54" s="81"/>
    </row>
    <row r="55">
      <c r="A55" s="83"/>
      <c r="F55" s="81"/>
    </row>
    <row r="56">
      <c r="A56" s="84"/>
      <c r="F56" s="81"/>
    </row>
    <row r="57">
      <c r="A57" s="84"/>
      <c r="F57" s="81"/>
    </row>
    <row r="58">
      <c r="A58" s="84"/>
      <c r="F58" s="81"/>
    </row>
    <row r="59">
      <c r="A59" s="84"/>
      <c r="F59" s="81"/>
    </row>
    <row r="60">
      <c r="A60" s="84"/>
      <c r="F60" s="81"/>
    </row>
    <row r="61">
      <c r="A61" s="84"/>
      <c r="F61" s="81"/>
    </row>
    <row r="62">
      <c r="A62" s="84"/>
      <c r="F62" s="81"/>
    </row>
    <row r="63">
      <c r="A63" s="84"/>
      <c r="F63" s="81"/>
    </row>
    <row r="64">
      <c r="A64" s="84"/>
      <c r="F64" s="81"/>
    </row>
    <row r="65">
      <c r="A65" s="84"/>
      <c r="F65" s="81"/>
    </row>
    <row r="66">
      <c r="A66" s="84"/>
      <c r="F66" s="81"/>
    </row>
    <row r="67">
      <c r="A67" s="84"/>
      <c r="F67" s="81"/>
    </row>
    <row r="68">
      <c r="A68" s="84"/>
      <c r="F68" s="81"/>
    </row>
    <row r="69">
      <c r="A69" s="84"/>
      <c r="F69" s="81"/>
    </row>
    <row r="70">
      <c r="A70" s="84"/>
      <c r="F70" s="81"/>
    </row>
    <row r="71">
      <c r="A71" s="84"/>
      <c r="F71" s="81"/>
    </row>
    <row r="72">
      <c r="A72" s="84"/>
      <c r="F72" s="81"/>
    </row>
    <row r="73">
      <c r="A73" s="84"/>
      <c r="F73" s="81"/>
    </row>
    <row r="74">
      <c r="A74" s="84"/>
      <c r="F74" s="81"/>
    </row>
    <row r="75">
      <c r="A75" s="84"/>
      <c r="F75" s="81"/>
    </row>
    <row r="76">
      <c r="A76" s="84"/>
      <c r="F76" s="81"/>
    </row>
    <row r="77">
      <c r="A77" s="84"/>
      <c r="F77" s="81"/>
    </row>
    <row r="78">
      <c r="A78" s="84"/>
      <c r="F78" s="81"/>
    </row>
    <row r="79">
      <c r="A79" s="84"/>
      <c r="F79" s="81"/>
    </row>
    <row r="80">
      <c r="A80" s="84"/>
      <c r="F80" s="81"/>
    </row>
    <row r="81">
      <c r="A81" s="84"/>
      <c r="F81" s="81"/>
    </row>
    <row r="82">
      <c r="A82" s="84"/>
      <c r="F82" s="81"/>
    </row>
    <row r="83">
      <c r="A83" s="84"/>
      <c r="F83" s="81"/>
    </row>
    <row r="84">
      <c r="A84" s="84"/>
      <c r="F84" s="81"/>
    </row>
    <row r="85">
      <c r="A85" s="84"/>
      <c r="F85" s="81"/>
    </row>
    <row r="86">
      <c r="A86" s="84"/>
      <c r="F86" s="81"/>
    </row>
    <row r="87">
      <c r="A87" s="84"/>
      <c r="F87" s="81"/>
    </row>
    <row r="88">
      <c r="A88" s="84"/>
      <c r="F88" s="81"/>
    </row>
    <row r="89">
      <c r="A89" s="84"/>
      <c r="F89" s="81"/>
    </row>
    <row r="90">
      <c r="A90" s="84"/>
      <c r="F90" s="81"/>
    </row>
    <row r="91">
      <c r="A91" s="84"/>
      <c r="F91" s="81"/>
    </row>
    <row r="92">
      <c r="A92" s="84"/>
      <c r="F92" s="81"/>
    </row>
    <row r="93">
      <c r="A93" s="84"/>
      <c r="F93" s="81"/>
    </row>
    <row r="94">
      <c r="A94" s="84"/>
      <c r="F94" s="81"/>
    </row>
    <row r="95">
      <c r="A95" s="84"/>
      <c r="F95" s="81"/>
    </row>
    <row r="96">
      <c r="A96" s="84"/>
      <c r="F96" s="81"/>
    </row>
    <row r="97">
      <c r="A97" s="84"/>
      <c r="F97" s="81"/>
    </row>
    <row r="98">
      <c r="A98" s="84"/>
      <c r="F98" s="81"/>
    </row>
    <row r="99">
      <c r="A99" s="84"/>
      <c r="F99" s="81"/>
    </row>
    <row r="100">
      <c r="A100" s="84"/>
      <c r="F100" s="81"/>
    </row>
    <row r="101">
      <c r="A101" s="84"/>
      <c r="F101" s="81"/>
    </row>
    <row r="102">
      <c r="A102" s="84"/>
      <c r="F102" s="81"/>
    </row>
    <row r="103">
      <c r="A103" s="84"/>
      <c r="F103" s="81"/>
    </row>
    <row r="104">
      <c r="A104" s="84"/>
      <c r="F104" s="81"/>
    </row>
    <row r="105">
      <c r="A105" s="84"/>
      <c r="F105" s="81"/>
    </row>
    <row r="106">
      <c r="A106" s="84"/>
      <c r="F106" s="81"/>
    </row>
    <row r="107">
      <c r="A107" s="84"/>
      <c r="F107" s="81"/>
    </row>
    <row r="108">
      <c r="A108" s="84"/>
      <c r="F108" s="81"/>
    </row>
    <row r="109">
      <c r="A109" s="84"/>
      <c r="F109" s="81"/>
    </row>
    <row r="110">
      <c r="A110" s="84"/>
      <c r="F110" s="81"/>
    </row>
    <row r="111">
      <c r="A111" s="84"/>
      <c r="F111" s="81"/>
    </row>
    <row r="112">
      <c r="A112" s="84"/>
      <c r="F112" s="81"/>
    </row>
    <row r="113">
      <c r="A113" s="84"/>
      <c r="F113" s="81"/>
    </row>
    <row r="114">
      <c r="A114" s="84"/>
      <c r="F114" s="81"/>
    </row>
    <row r="115">
      <c r="A115" s="84"/>
      <c r="F115" s="81"/>
    </row>
    <row r="116">
      <c r="A116" s="84"/>
      <c r="F116" s="81"/>
    </row>
    <row r="117">
      <c r="A117" s="84"/>
      <c r="F117" s="81"/>
    </row>
    <row r="118">
      <c r="A118" s="84"/>
      <c r="F118" s="81"/>
    </row>
    <row r="119">
      <c r="A119" s="84"/>
      <c r="F119" s="81"/>
    </row>
    <row r="120">
      <c r="A120" s="84"/>
      <c r="F120" s="81"/>
    </row>
    <row r="121">
      <c r="A121" s="84"/>
      <c r="F121" s="81"/>
    </row>
    <row r="122">
      <c r="A122" s="84"/>
      <c r="F122" s="81"/>
    </row>
    <row r="123">
      <c r="A123" s="84"/>
      <c r="F123" s="81"/>
    </row>
    <row r="124">
      <c r="A124" s="84"/>
      <c r="F124" s="81"/>
    </row>
    <row r="125">
      <c r="A125" s="84"/>
      <c r="F125" s="81"/>
    </row>
    <row r="126">
      <c r="A126" s="84"/>
      <c r="F126" s="81"/>
    </row>
    <row r="127">
      <c r="A127" s="84"/>
      <c r="F127" s="81"/>
    </row>
    <row r="128">
      <c r="A128" s="84"/>
      <c r="F128" s="81"/>
    </row>
    <row r="129">
      <c r="A129" s="84"/>
      <c r="F129" s="81"/>
    </row>
    <row r="130">
      <c r="A130" s="84"/>
      <c r="F130" s="81"/>
    </row>
    <row r="131">
      <c r="A131" s="84"/>
      <c r="F131" s="81"/>
    </row>
    <row r="132">
      <c r="A132" s="84"/>
      <c r="F132" s="81"/>
    </row>
    <row r="133">
      <c r="A133" s="84"/>
      <c r="F133" s="81"/>
    </row>
    <row r="134">
      <c r="A134" s="84"/>
      <c r="F134" s="81"/>
    </row>
    <row r="135">
      <c r="A135" s="84"/>
      <c r="F135" s="81"/>
    </row>
    <row r="136">
      <c r="A136" s="84"/>
      <c r="F136" s="81"/>
    </row>
    <row r="137">
      <c r="A137" s="84"/>
      <c r="F137" s="81"/>
    </row>
    <row r="138">
      <c r="A138" s="84"/>
      <c r="F138" s="81"/>
    </row>
    <row r="139">
      <c r="A139" s="84"/>
      <c r="F139" s="81"/>
    </row>
    <row r="140">
      <c r="A140" s="84"/>
      <c r="F140" s="81"/>
    </row>
    <row r="141">
      <c r="A141" s="84"/>
      <c r="F141" s="81"/>
    </row>
    <row r="142">
      <c r="A142" s="84"/>
      <c r="F142" s="81"/>
    </row>
    <row r="143">
      <c r="A143" s="84"/>
      <c r="F143" s="81"/>
    </row>
    <row r="144">
      <c r="A144" s="84"/>
      <c r="F144" s="81"/>
    </row>
    <row r="145">
      <c r="A145" s="84"/>
      <c r="F145" s="81"/>
    </row>
    <row r="146">
      <c r="A146" s="84"/>
      <c r="F146" s="81"/>
    </row>
    <row r="147">
      <c r="A147" s="84"/>
      <c r="F147" s="81"/>
    </row>
    <row r="148">
      <c r="A148" s="84"/>
      <c r="F148" s="81"/>
    </row>
    <row r="149">
      <c r="A149" s="84"/>
      <c r="F149" s="81"/>
    </row>
    <row r="150">
      <c r="A150" s="84"/>
      <c r="F150" s="81"/>
    </row>
    <row r="151">
      <c r="A151" s="84"/>
      <c r="F151" s="81"/>
    </row>
    <row r="152">
      <c r="A152" s="84"/>
      <c r="F152" s="81"/>
    </row>
    <row r="153">
      <c r="A153" s="84"/>
      <c r="F153" s="81"/>
    </row>
    <row r="154">
      <c r="A154" s="84"/>
      <c r="F154" s="81"/>
    </row>
    <row r="155">
      <c r="A155" s="84"/>
      <c r="F155" s="81"/>
    </row>
    <row r="156">
      <c r="A156" s="84"/>
      <c r="F156" s="81"/>
    </row>
    <row r="157">
      <c r="A157" s="84"/>
      <c r="F157" s="81"/>
    </row>
    <row r="158">
      <c r="A158" s="84"/>
      <c r="F158" s="81"/>
    </row>
    <row r="159">
      <c r="A159" s="84"/>
      <c r="F159" s="81"/>
    </row>
    <row r="160">
      <c r="A160" s="84"/>
      <c r="F160" s="81"/>
    </row>
    <row r="161">
      <c r="A161" s="84"/>
      <c r="F161" s="81"/>
    </row>
    <row r="162">
      <c r="A162" s="84"/>
      <c r="F162" s="81"/>
    </row>
    <row r="163">
      <c r="A163" s="84"/>
      <c r="F163" s="81"/>
    </row>
    <row r="164">
      <c r="A164" s="84"/>
      <c r="F164" s="81"/>
    </row>
    <row r="165">
      <c r="A165" s="84"/>
      <c r="F165" s="81"/>
    </row>
    <row r="166">
      <c r="A166" s="84"/>
      <c r="F166" s="81"/>
    </row>
    <row r="167">
      <c r="A167" s="84"/>
      <c r="F167" s="81"/>
    </row>
    <row r="168">
      <c r="A168" s="84"/>
      <c r="F168" s="81"/>
    </row>
    <row r="169">
      <c r="A169" s="84"/>
      <c r="F169" s="81"/>
    </row>
    <row r="170">
      <c r="A170" s="84"/>
      <c r="F170" s="81"/>
    </row>
    <row r="171">
      <c r="A171" s="84"/>
      <c r="F171" s="81"/>
    </row>
    <row r="172">
      <c r="A172" s="84"/>
      <c r="F172" s="81"/>
    </row>
    <row r="173">
      <c r="A173" s="84"/>
      <c r="F173" s="81"/>
    </row>
    <row r="174">
      <c r="A174" s="84"/>
      <c r="F174" s="81"/>
    </row>
    <row r="175">
      <c r="A175" s="84"/>
      <c r="F175" s="81"/>
    </row>
    <row r="176">
      <c r="A176" s="84"/>
      <c r="F176" s="81"/>
    </row>
    <row r="177">
      <c r="A177" s="84"/>
      <c r="F177" s="81"/>
    </row>
    <row r="178">
      <c r="A178" s="84"/>
      <c r="F178" s="81"/>
    </row>
    <row r="179">
      <c r="A179" s="84"/>
      <c r="F179" s="81"/>
    </row>
    <row r="180">
      <c r="A180" s="84"/>
      <c r="F180" s="81"/>
    </row>
    <row r="181">
      <c r="A181" s="84"/>
      <c r="F181" s="81"/>
    </row>
    <row r="182">
      <c r="A182" s="84"/>
      <c r="F182" s="81"/>
    </row>
    <row r="183">
      <c r="A183" s="84"/>
      <c r="F183" s="81"/>
    </row>
    <row r="184">
      <c r="A184" s="84"/>
      <c r="F184" s="81"/>
    </row>
    <row r="185">
      <c r="A185" s="84"/>
      <c r="F185" s="81"/>
    </row>
    <row r="186">
      <c r="A186" s="84"/>
      <c r="F186" s="81"/>
    </row>
    <row r="187">
      <c r="A187" s="84"/>
      <c r="F187" s="81"/>
    </row>
    <row r="188">
      <c r="A188" s="84"/>
      <c r="F188" s="81"/>
    </row>
    <row r="189">
      <c r="A189" s="84"/>
      <c r="F189" s="81"/>
    </row>
    <row r="190">
      <c r="A190" s="84"/>
      <c r="F190" s="81"/>
    </row>
    <row r="191">
      <c r="A191" s="84"/>
      <c r="F191" s="81"/>
    </row>
    <row r="192">
      <c r="A192" s="84"/>
      <c r="F192" s="81"/>
    </row>
    <row r="193">
      <c r="A193" s="84"/>
      <c r="F193" s="81"/>
    </row>
    <row r="194">
      <c r="A194" s="84"/>
      <c r="F194" s="81"/>
    </row>
    <row r="195">
      <c r="A195" s="84"/>
      <c r="F195" s="81"/>
    </row>
    <row r="196">
      <c r="A196" s="84"/>
      <c r="F196" s="81"/>
    </row>
    <row r="197">
      <c r="A197" s="84"/>
      <c r="F197" s="81"/>
    </row>
    <row r="198">
      <c r="A198" s="84"/>
      <c r="F198" s="81"/>
    </row>
    <row r="199">
      <c r="A199" s="84"/>
      <c r="F199" s="81"/>
    </row>
    <row r="200">
      <c r="A200" s="84"/>
      <c r="F200" s="81"/>
    </row>
    <row r="201">
      <c r="A201" s="84"/>
      <c r="F201" s="81"/>
    </row>
    <row r="202">
      <c r="A202" s="84"/>
      <c r="F202" s="81"/>
    </row>
    <row r="203">
      <c r="A203" s="84"/>
      <c r="F203" s="81"/>
    </row>
    <row r="204">
      <c r="A204" s="84"/>
      <c r="F204" s="81"/>
    </row>
    <row r="205">
      <c r="A205" s="84"/>
      <c r="F205" s="81"/>
    </row>
    <row r="206">
      <c r="A206" s="84"/>
      <c r="F206" s="81"/>
    </row>
    <row r="207">
      <c r="A207" s="84"/>
      <c r="F207" s="81"/>
    </row>
    <row r="208">
      <c r="A208" s="84"/>
      <c r="F208" s="81"/>
    </row>
    <row r="209">
      <c r="A209" s="84"/>
      <c r="F209" s="81"/>
    </row>
    <row r="210">
      <c r="A210" s="84"/>
      <c r="F210" s="81"/>
    </row>
    <row r="211">
      <c r="A211" s="84"/>
      <c r="F211" s="81"/>
    </row>
    <row r="212">
      <c r="A212" s="84"/>
      <c r="F212" s="81"/>
    </row>
    <row r="213">
      <c r="A213" s="84"/>
      <c r="F213" s="81"/>
    </row>
    <row r="214">
      <c r="A214" s="84"/>
      <c r="F214" s="81"/>
    </row>
    <row r="215">
      <c r="A215" s="84"/>
      <c r="F215" s="81"/>
    </row>
    <row r="216">
      <c r="A216" s="84"/>
      <c r="F216" s="81"/>
    </row>
    <row r="217">
      <c r="A217" s="84"/>
      <c r="F217" s="81"/>
    </row>
    <row r="218">
      <c r="A218" s="84"/>
      <c r="F218" s="81"/>
    </row>
    <row r="219">
      <c r="A219" s="84"/>
      <c r="F219" s="81"/>
    </row>
    <row r="220">
      <c r="A220" s="84"/>
      <c r="F220" s="81"/>
    </row>
    <row r="221">
      <c r="A221" s="84"/>
      <c r="F221" s="81"/>
    </row>
    <row r="222">
      <c r="A222" s="84"/>
      <c r="F222" s="81"/>
    </row>
    <row r="223">
      <c r="A223" s="84"/>
      <c r="F223" s="81"/>
    </row>
    <row r="224">
      <c r="A224" s="84"/>
      <c r="F224" s="81"/>
    </row>
    <row r="225">
      <c r="A225" s="84"/>
      <c r="F225" s="81"/>
    </row>
    <row r="226">
      <c r="A226" s="84"/>
      <c r="F226" s="81"/>
    </row>
    <row r="227">
      <c r="A227" s="84"/>
      <c r="F227" s="81"/>
    </row>
    <row r="228">
      <c r="A228" s="84"/>
      <c r="F228" s="81"/>
    </row>
    <row r="229">
      <c r="A229" s="84"/>
      <c r="F229" s="81"/>
    </row>
    <row r="230">
      <c r="A230" s="84"/>
      <c r="F230" s="81"/>
    </row>
    <row r="231">
      <c r="A231" s="84"/>
      <c r="F231" s="81"/>
    </row>
    <row r="232">
      <c r="A232" s="84"/>
      <c r="F232" s="81"/>
    </row>
    <row r="233">
      <c r="A233" s="84"/>
      <c r="F233" s="81"/>
    </row>
    <row r="234">
      <c r="A234" s="84"/>
      <c r="F234" s="81"/>
    </row>
    <row r="235">
      <c r="A235" s="84"/>
      <c r="F235" s="81"/>
    </row>
    <row r="236">
      <c r="A236" s="84"/>
      <c r="F236" s="81"/>
    </row>
    <row r="237">
      <c r="A237" s="84"/>
      <c r="F237" s="81"/>
    </row>
    <row r="238">
      <c r="A238" s="84"/>
      <c r="F238" s="81"/>
    </row>
    <row r="239">
      <c r="A239" s="84"/>
      <c r="F239" s="81"/>
    </row>
    <row r="240">
      <c r="A240" s="84"/>
      <c r="F240" s="81"/>
    </row>
    <row r="241">
      <c r="A241" s="84"/>
      <c r="F241" s="81"/>
    </row>
    <row r="242">
      <c r="A242" s="84"/>
      <c r="F242" s="81"/>
    </row>
    <row r="243">
      <c r="A243" s="84"/>
      <c r="F243" s="81"/>
    </row>
    <row r="244">
      <c r="A244" s="84"/>
      <c r="F244" s="81"/>
    </row>
    <row r="245">
      <c r="A245" s="84"/>
      <c r="F245" s="81"/>
    </row>
    <row r="246">
      <c r="A246" s="84"/>
      <c r="F246" s="81"/>
    </row>
    <row r="247">
      <c r="A247" s="84"/>
      <c r="F247" s="81"/>
    </row>
    <row r="248">
      <c r="A248" s="84"/>
      <c r="F248" s="81"/>
    </row>
    <row r="249">
      <c r="A249" s="84"/>
      <c r="F249" s="81"/>
    </row>
    <row r="250">
      <c r="A250" s="84"/>
      <c r="F250" s="81"/>
    </row>
    <row r="251">
      <c r="A251" s="84"/>
      <c r="F251" s="81"/>
    </row>
    <row r="252">
      <c r="A252" s="84"/>
      <c r="F252" s="81"/>
    </row>
    <row r="253">
      <c r="A253" s="84"/>
      <c r="F253" s="81"/>
    </row>
    <row r="254">
      <c r="A254" s="84"/>
      <c r="F254" s="81"/>
    </row>
    <row r="255">
      <c r="A255" s="84"/>
      <c r="F255" s="81"/>
    </row>
    <row r="256">
      <c r="A256" s="84"/>
      <c r="F256" s="81"/>
    </row>
    <row r="257">
      <c r="A257" s="84"/>
      <c r="F257" s="81"/>
    </row>
    <row r="258">
      <c r="A258" s="84"/>
      <c r="F258" s="81"/>
    </row>
    <row r="259">
      <c r="A259" s="84"/>
      <c r="F259" s="81"/>
    </row>
    <row r="260">
      <c r="A260" s="84"/>
      <c r="F260" s="81"/>
    </row>
    <row r="261">
      <c r="A261" s="84"/>
      <c r="F261" s="81"/>
    </row>
    <row r="262">
      <c r="A262" s="84"/>
      <c r="F262" s="81"/>
    </row>
    <row r="263">
      <c r="A263" s="84"/>
      <c r="F263" s="81"/>
    </row>
    <row r="264">
      <c r="A264" s="84"/>
      <c r="F264" s="81"/>
    </row>
    <row r="265">
      <c r="A265" s="84"/>
      <c r="F265" s="81"/>
    </row>
    <row r="266">
      <c r="A266" s="84"/>
      <c r="F266" s="81"/>
    </row>
    <row r="267">
      <c r="A267" s="84"/>
      <c r="F267" s="81"/>
    </row>
    <row r="268">
      <c r="A268" s="84"/>
      <c r="F268" s="81"/>
    </row>
    <row r="269">
      <c r="A269" s="84"/>
      <c r="F269" s="81"/>
    </row>
    <row r="270">
      <c r="A270" s="84"/>
      <c r="F270" s="81"/>
    </row>
    <row r="271">
      <c r="A271" s="84"/>
      <c r="F271" s="81"/>
    </row>
    <row r="272">
      <c r="A272" s="84"/>
      <c r="F272" s="81"/>
    </row>
    <row r="273">
      <c r="A273" s="84"/>
      <c r="F273" s="81"/>
    </row>
    <row r="274">
      <c r="A274" s="84"/>
      <c r="F274" s="81"/>
    </row>
    <row r="275">
      <c r="A275" s="84"/>
      <c r="F275" s="81"/>
    </row>
    <row r="276">
      <c r="A276" s="84"/>
      <c r="F276" s="81"/>
    </row>
    <row r="277">
      <c r="A277" s="84"/>
      <c r="F277" s="81"/>
    </row>
    <row r="278">
      <c r="A278" s="84"/>
      <c r="F278" s="81"/>
    </row>
    <row r="279">
      <c r="A279" s="84"/>
      <c r="F279" s="81"/>
    </row>
    <row r="280">
      <c r="A280" s="84"/>
      <c r="F280" s="81"/>
    </row>
    <row r="281">
      <c r="A281" s="84"/>
      <c r="F281" s="81"/>
    </row>
    <row r="282">
      <c r="A282" s="84"/>
      <c r="F282" s="81"/>
    </row>
    <row r="283">
      <c r="A283" s="84"/>
      <c r="F283" s="81"/>
    </row>
    <row r="284">
      <c r="A284" s="84"/>
      <c r="F284" s="81"/>
    </row>
    <row r="285">
      <c r="A285" s="84"/>
      <c r="F285" s="81"/>
    </row>
    <row r="286">
      <c r="A286" s="84"/>
      <c r="F286" s="81"/>
    </row>
    <row r="287">
      <c r="A287" s="84"/>
      <c r="F287" s="81"/>
    </row>
    <row r="288">
      <c r="A288" s="84"/>
      <c r="F288" s="81"/>
    </row>
    <row r="289">
      <c r="A289" s="84"/>
      <c r="F289" s="81"/>
    </row>
    <row r="290">
      <c r="A290" s="84"/>
      <c r="F290" s="81"/>
    </row>
    <row r="291">
      <c r="A291" s="84"/>
      <c r="F291" s="81"/>
    </row>
    <row r="292">
      <c r="A292" s="84"/>
      <c r="F292" s="81"/>
    </row>
    <row r="293">
      <c r="A293" s="84"/>
      <c r="F293" s="81"/>
    </row>
    <row r="294">
      <c r="A294" s="84"/>
      <c r="F294" s="81"/>
    </row>
    <row r="295">
      <c r="A295" s="84"/>
      <c r="F295" s="81"/>
    </row>
    <row r="296">
      <c r="A296" s="84"/>
      <c r="F296" s="81"/>
    </row>
    <row r="297">
      <c r="A297" s="84"/>
      <c r="F297" s="81"/>
    </row>
    <row r="298">
      <c r="A298" s="84"/>
      <c r="F298" s="81"/>
    </row>
    <row r="299">
      <c r="A299" s="84"/>
      <c r="F299" s="81"/>
    </row>
    <row r="300">
      <c r="A300" s="84"/>
      <c r="F300" s="81"/>
    </row>
    <row r="301">
      <c r="A301" s="84"/>
      <c r="F301" s="81"/>
    </row>
    <row r="302">
      <c r="A302" s="84"/>
      <c r="F302" s="81"/>
    </row>
    <row r="303">
      <c r="A303" s="84"/>
      <c r="F303" s="81"/>
    </row>
    <row r="304">
      <c r="A304" s="84"/>
      <c r="F304" s="81"/>
    </row>
    <row r="305">
      <c r="A305" s="84"/>
      <c r="F305" s="81"/>
    </row>
    <row r="306">
      <c r="A306" s="84"/>
      <c r="F306" s="81"/>
    </row>
    <row r="307">
      <c r="A307" s="84"/>
      <c r="F307" s="81"/>
    </row>
    <row r="308">
      <c r="A308" s="84"/>
      <c r="F308" s="81"/>
    </row>
    <row r="309">
      <c r="A309" s="84"/>
      <c r="F309" s="81"/>
    </row>
    <row r="310">
      <c r="A310" s="84"/>
      <c r="F310" s="81"/>
    </row>
    <row r="311">
      <c r="A311" s="84"/>
      <c r="F311" s="81"/>
    </row>
    <row r="312">
      <c r="A312" s="84"/>
      <c r="F312" s="81"/>
    </row>
    <row r="313">
      <c r="A313" s="84"/>
      <c r="F313" s="81"/>
    </row>
    <row r="314">
      <c r="A314" s="84"/>
      <c r="F314" s="81"/>
    </row>
    <row r="315">
      <c r="A315" s="84"/>
      <c r="F315" s="81"/>
    </row>
    <row r="316">
      <c r="A316" s="84"/>
      <c r="F316" s="81"/>
    </row>
    <row r="317">
      <c r="A317" s="84"/>
      <c r="F317" s="81"/>
    </row>
    <row r="318">
      <c r="A318" s="84"/>
      <c r="F318" s="81"/>
    </row>
    <row r="319">
      <c r="A319" s="84"/>
      <c r="F319" s="81"/>
    </row>
    <row r="320">
      <c r="A320" s="84"/>
      <c r="F320" s="81"/>
    </row>
    <row r="321">
      <c r="A321" s="84"/>
      <c r="F321" s="81"/>
    </row>
    <row r="322">
      <c r="A322" s="84"/>
      <c r="F322" s="81"/>
    </row>
    <row r="323">
      <c r="A323" s="84"/>
      <c r="F323" s="81"/>
    </row>
    <row r="324">
      <c r="A324" s="84"/>
      <c r="F324" s="81"/>
    </row>
    <row r="325">
      <c r="A325" s="84"/>
      <c r="F325" s="81"/>
    </row>
    <row r="326">
      <c r="A326" s="84"/>
      <c r="F326" s="81"/>
    </row>
    <row r="327">
      <c r="A327" s="84"/>
      <c r="F327" s="81"/>
    </row>
    <row r="328">
      <c r="A328" s="84"/>
      <c r="F328" s="81"/>
    </row>
    <row r="329">
      <c r="A329" s="84"/>
      <c r="F329" s="81"/>
    </row>
    <row r="330">
      <c r="A330" s="84"/>
      <c r="F330" s="81"/>
    </row>
    <row r="331">
      <c r="A331" s="84"/>
      <c r="F331" s="81"/>
    </row>
    <row r="332">
      <c r="A332" s="84"/>
      <c r="F332" s="81"/>
    </row>
    <row r="333">
      <c r="A333" s="84"/>
      <c r="F333" s="81"/>
    </row>
    <row r="334">
      <c r="A334" s="84"/>
      <c r="F334" s="81"/>
    </row>
    <row r="335">
      <c r="A335" s="84"/>
      <c r="F335" s="81"/>
    </row>
    <row r="336">
      <c r="A336" s="84"/>
      <c r="F336" s="81"/>
    </row>
    <row r="337">
      <c r="A337" s="84"/>
      <c r="F337" s="81"/>
    </row>
    <row r="338">
      <c r="A338" s="84"/>
      <c r="F338" s="81"/>
    </row>
    <row r="339">
      <c r="A339" s="84"/>
      <c r="F339" s="81"/>
    </row>
    <row r="340">
      <c r="A340" s="84"/>
      <c r="F340" s="81"/>
    </row>
    <row r="341">
      <c r="A341" s="84"/>
      <c r="F341" s="81"/>
    </row>
    <row r="342">
      <c r="A342" s="84"/>
      <c r="F342" s="81"/>
    </row>
    <row r="343">
      <c r="A343" s="84"/>
      <c r="F343" s="81"/>
    </row>
    <row r="344">
      <c r="A344" s="84"/>
      <c r="F344" s="81"/>
    </row>
    <row r="345">
      <c r="A345" s="84"/>
      <c r="F345" s="81"/>
    </row>
    <row r="346">
      <c r="A346" s="84"/>
      <c r="F346" s="81"/>
    </row>
    <row r="347">
      <c r="A347" s="84"/>
      <c r="F347" s="81"/>
    </row>
    <row r="348">
      <c r="A348" s="84"/>
      <c r="F348" s="81"/>
    </row>
    <row r="349">
      <c r="A349" s="84"/>
      <c r="F349" s="81"/>
    </row>
    <row r="350">
      <c r="A350" s="84"/>
      <c r="F350" s="81"/>
    </row>
    <row r="351">
      <c r="A351" s="84"/>
      <c r="F351" s="81"/>
    </row>
    <row r="352">
      <c r="A352" s="84"/>
      <c r="F352" s="81"/>
    </row>
    <row r="353">
      <c r="A353" s="84"/>
      <c r="F353" s="81"/>
    </row>
    <row r="354">
      <c r="A354" s="84"/>
      <c r="F354" s="81"/>
    </row>
    <row r="355">
      <c r="A355" s="84"/>
      <c r="F355" s="81"/>
    </row>
    <row r="356">
      <c r="A356" s="84"/>
      <c r="F356" s="81"/>
    </row>
    <row r="357">
      <c r="A357" s="84"/>
      <c r="F357" s="81"/>
    </row>
    <row r="358">
      <c r="A358" s="84"/>
      <c r="F358" s="81"/>
    </row>
    <row r="359">
      <c r="A359" s="84"/>
      <c r="F359" s="81"/>
    </row>
    <row r="360">
      <c r="A360" s="84"/>
      <c r="F360" s="81"/>
    </row>
    <row r="361">
      <c r="A361" s="84"/>
      <c r="F361" s="81"/>
    </row>
    <row r="362">
      <c r="A362" s="84"/>
      <c r="F362" s="81"/>
    </row>
    <row r="363">
      <c r="A363" s="84"/>
      <c r="F363" s="81"/>
    </row>
    <row r="364">
      <c r="A364" s="84"/>
      <c r="F364" s="81"/>
    </row>
    <row r="365">
      <c r="A365" s="84"/>
      <c r="F365" s="81"/>
    </row>
    <row r="366">
      <c r="A366" s="84"/>
      <c r="F366" s="81"/>
    </row>
    <row r="367">
      <c r="A367" s="84"/>
      <c r="F367" s="81"/>
    </row>
    <row r="368">
      <c r="A368" s="84"/>
      <c r="F368" s="81"/>
    </row>
    <row r="369">
      <c r="A369" s="84"/>
      <c r="F369" s="81"/>
    </row>
    <row r="370">
      <c r="A370" s="84"/>
      <c r="F370" s="81"/>
    </row>
    <row r="371">
      <c r="A371" s="84"/>
      <c r="F371" s="81"/>
    </row>
    <row r="372">
      <c r="A372" s="84"/>
      <c r="F372" s="81"/>
    </row>
    <row r="373">
      <c r="A373" s="84"/>
      <c r="F373" s="81"/>
    </row>
    <row r="374">
      <c r="A374" s="84"/>
      <c r="F374" s="81"/>
    </row>
    <row r="375">
      <c r="A375" s="84"/>
      <c r="F375" s="81"/>
    </row>
    <row r="376">
      <c r="A376" s="84"/>
      <c r="F376" s="81"/>
    </row>
    <row r="377">
      <c r="A377" s="84"/>
      <c r="F377" s="81"/>
    </row>
    <row r="378">
      <c r="A378" s="84"/>
      <c r="F378" s="81"/>
    </row>
    <row r="379">
      <c r="A379" s="84"/>
      <c r="F379" s="81"/>
    </row>
    <row r="380">
      <c r="A380" s="84"/>
      <c r="F380" s="81"/>
    </row>
    <row r="381">
      <c r="A381" s="84"/>
      <c r="F381" s="81"/>
    </row>
    <row r="382">
      <c r="A382" s="84"/>
      <c r="F382" s="81"/>
    </row>
    <row r="383">
      <c r="A383" s="84"/>
      <c r="F383" s="81"/>
    </row>
    <row r="384">
      <c r="A384" s="84"/>
      <c r="F384" s="81"/>
    </row>
    <row r="385">
      <c r="A385" s="84"/>
      <c r="F385" s="81"/>
    </row>
    <row r="386">
      <c r="A386" s="84"/>
      <c r="F386" s="81"/>
    </row>
    <row r="387">
      <c r="A387" s="84"/>
      <c r="F387" s="81"/>
    </row>
    <row r="388">
      <c r="A388" s="84"/>
      <c r="F388" s="81"/>
    </row>
    <row r="389">
      <c r="A389" s="84"/>
      <c r="F389" s="81"/>
    </row>
    <row r="390">
      <c r="A390" s="84"/>
      <c r="F390" s="81"/>
    </row>
    <row r="391">
      <c r="A391" s="84"/>
      <c r="F391" s="81"/>
    </row>
    <row r="392">
      <c r="A392" s="84"/>
      <c r="F392" s="81"/>
    </row>
    <row r="393">
      <c r="A393" s="84"/>
      <c r="F393" s="81"/>
    </row>
    <row r="394">
      <c r="A394" s="84"/>
      <c r="F394" s="81"/>
    </row>
    <row r="395">
      <c r="A395" s="84"/>
      <c r="F395" s="81"/>
    </row>
    <row r="396">
      <c r="A396" s="84"/>
      <c r="F396" s="81"/>
    </row>
    <row r="397">
      <c r="A397" s="84"/>
      <c r="F397" s="81"/>
    </row>
    <row r="398">
      <c r="A398" s="84"/>
      <c r="F398" s="81"/>
    </row>
    <row r="399">
      <c r="A399" s="84"/>
      <c r="F399" s="81"/>
    </row>
    <row r="400">
      <c r="A400" s="84"/>
      <c r="F400" s="81"/>
    </row>
    <row r="401">
      <c r="A401" s="84"/>
      <c r="F401" s="81"/>
    </row>
    <row r="402">
      <c r="A402" s="84"/>
      <c r="F402" s="81"/>
    </row>
    <row r="403">
      <c r="A403" s="84"/>
      <c r="F403" s="81"/>
    </row>
    <row r="404">
      <c r="A404" s="84"/>
      <c r="F404" s="81"/>
    </row>
    <row r="405">
      <c r="A405" s="84"/>
      <c r="F405" s="81"/>
    </row>
    <row r="406">
      <c r="A406" s="84"/>
      <c r="F406" s="81"/>
    </row>
    <row r="407">
      <c r="A407" s="84"/>
      <c r="F407" s="81"/>
    </row>
    <row r="408">
      <c r="A408" s="84"/>
      <c r="F408" s="81"/>
    </row>
    <row r="409">
      <c r="A409" s="84"/>
      <c r="F409" s="81"/>
    </row>
    <row r="410">
      <c r="A410" s="84"/>
      <c r="F410" s="81"/>
    </row>
    <row r="411">
      <c r="A411" s="84"/>
      <c r="F411" s="81"/>
    </row>
    <row r="412">
      <c r="A412" s="84"/>
      <c r="F412" s="81"/>
    </row>
    <row r="413">
      <c r="A413" s="84"/>
      <c r="F413" s="81"/>
    </row>
    <row r="414">
      <c r="A414" s="84"/>
      <c r="F414" s="81"/>
    </row>
    <row r="415">
      <c r="A415" s="84"/>
      <c r="F415" s="81"/>
    </row>
    <row r="416">
      <c r="A416" s="84"/>
      <c r="F416" s="81"/>
    </row>
    <row r="417">
      <c r="A417" s="84"/>
      <c r="F417" s="81"/>
    </row>
    <row r="418">
      <c r="A418" s="84"/>
      <c r="F418" s="81"/>
    </row>
    <row r="419">
      <c r="A419" s="84"/>
      <c r="F419" s="81"/>
    </row>
    <row r="420">
      <c r="A420" s="84"/>
      <c r="F420" s="81"/>
    </row>
    <row r="421">
      <c r="A421" s="84"/>
      <c r="F421" s="81"/>
    </row>
    <row r="422">
      <c r="A422" s="84"/>
      <c r="F422" s="81"/>
    </row>
    <row r="423">
      <c r="A423" s="84"/>
      <c r="F423" s="81"/>
    </row>
    <row r="424">
      <c r="A424" s="84"/>
      <c r="F424" s="81"/>
    </row>
    <row r="425">
      <c r="A425" s="84"/>
      <c r="F425" s="81"/>
    </row>
    <row r="426">
      <c r="A426" s="84"/>
      <c r="F426" s="81"/>
    </row>
    <row r="427">
      <c r="A427" s="84"/>
      <c r="F427" s="81"/>
    </row>
    <row r="428">
      <c r="A428" s="84"/>
      <c r="F428" s="81"/>
    </row>
    <row r="429">
      <c r="A429" s="84"/>
      <c r="F429" s="81"/>
    </row>
    <row r="430">
      <c r="A430" s="84"/>
      <c r="F430" s="81"/>
    </row>
    <row r="431">
      <c r="A431" s="84"/>
      <c r="F431" s="81"/>
    </row>
    <row r="432">
      <c r="A432" s="84"/>
      <c r="F432" s="81"/>
    </row>
    <row r="433">
      <c r="A433" s="84"/>
      <c r="F433" s="81"/>
    </row>
    <row r="434">
      <c r="A434" s="84"/>
      <c r="F434" s="81"/>
    </row>
    <row r="435">
      <c r="A435" s="84"/>
      <c r="F435" s="81"/>
    </row>
    <row r="436">
      <c r="A436" s="84"/>
      <c r="F436" s="81"/>
    </row>
    <row r="437">
      <c r="A437" s="84"/>
      <c r="F437" s="81"/>
    </row>
    <row r="438">
      <c r="A438" s="84"/>
      <c r="F438" s="81"/>
    </row>
    <row r="439">
      <c r="A439" s="84"/>
      <c r="F439" s="81"/>
    </row>
    <row r="440">
      <c r="A440" s="84"/>
      <c r="F440" s="81"/>
    </row>
    <row r="441">
      <c r="A441" s="84"/>
      <c r="F441" s="81"/>
    </row>
    <row r="442">
      <c r="A442" s="84"/>
      <c r="F442" s="81"/>
    </row>
    <row r="443">
      <c r="A443" s="84"/>
      <c r="F443" s="81"/>
    </row>
    <row r="444">
      <c r="A444" s="84"/>
      <c r="F444" s="81"/>
    </row>
    <row r="445">
      <c r="A445" s="84"/>
      <c r="F445" s="81"/>
    </row>
    <row r="446">
      <c r="A446" s="84"/>
      <c r="F446" s="81"/>
    </row>
    <row r="447">
      <c r="A447" s="84"/>
      <c r="F447" s="81"/>
    </row>
    <row r="448">
      <c r="A448" s="84"/>
      <c r="F448" s="81"/>
    </row>
    <row r="449">
      <c r="A449" s="84"/>
      <c r="F449" s="81"/>
    </row>
    <row r="450">
      <c r="A450" s="84"/>
      <c r="F450" s="81"/>
    </row>
    <row r="451">
      <c r="A451" s="84"/>
      <c r="F451" s="81"/>
    </row>
    <row r="452">
      <c r="A452" s="84"/>
      <c r="F452" s="81"/>
    </row>
    <row r="453">
      <c r="A453" s="84"/>
      <c r="F453" s="81"/>
    </row>
    <row r="454">
      <c r="A454" s="84"/>
      <c r="F454" s="81"/>
    </row>
    <row r="455">
      <c r="A455" s="84"/>
      <c r="F455" s="81"/>
    </row>
    <row r="456">
      <c r="A456" s="84"/>
      <c r="F456" s="81"/>
    </row>
    <row r="457">
      <c r="A457" s="84"/>
      <c r="F457" s="81"/>
    </row>
    <row r="458">
      <c r="A458" s="84"/>
      <c r="F458" s="81"/>
    </row>
    <row r="459">
      <c r="A459" s="84"/>
      <c r="F459" s="81"/>
    </row>
    <row r="460">
      <c r="A460" s="84"/>
      <c r="F460" s="81"/>
    </row>
    <row r="461">
      <c r="A461" s="84"/>
      <c r="F461" s="81"/>
    </row>
    <row r="462">
      <c r="A462" s="84"/>
      <c r="F462" s="81"/>
    </row>
    <row r="463">
      <c r="A463" s="84"/>
      <c r="F463" s="81"/>
    </row>
    <row r="464">
      <c r="A464" s="84"/>
      <c r="F464" s="81"/>
    </row>
    <row r="465">
      <c r="A465" s="84"/>
      <c r="F465" s="81"/>
    </row>
    <row r="466">
      <c r="A466" s="84"/>
      <c r="F466" s="81"/>
    </row>
    <row r="467">
      <c r="A467" s="84"/>
      <c r="F467" s="81"/>
    </row>
    <row r="468">
      <c r="A468" s="84"/>
      <c r="F468" s="81"/>
    </row>
    <row r="469">
      <c r="A469" s="84"/>
      <c r="F469" s="81"/>
    </row>
    <row r="470">
      <c r="A470" s="84"/>
      <c r="F470" s="81"/>
    </row>
    <row r="471">
      <c r="A471" s="84"/>
      <c r="F471" s="81"/>
    </row>
    <row r="472">
      <c r="A472" s="84"/>
      <c r="F472" s="81"/>
    </row>
    <row r="473">
      <c r="A473" s="84"/>
      <c r="F473" s="81"/>
    </row>
    <row r="474">
      <c r="A474" s="84"/>
      <c r="F474" s="81"/>
    </row>
    <row r="475">
      <c r="A475" s="84"/>
      <c r="F475" s="81"/>
    </row>
    <row r="476">
      <c r="A476" s="84"/>
      <c r="F476" s="81"/>
    </row>
    <row r="477">
      <c r="A477" s="84"/>
      <c r="F477" s="81"/>
    </row>
    <row r="478">
      <c r="A478" s="84"/>
      <c r="F478" s="81"/>
    </row>
    <row r="479">
      <c r="A479" s="84"/>
      <c r="F479" s="81"/>
    </row>
    <row r="480">
      <c r="A480" s="84"/>
      <c r="F480" s="81"/>
    </row>
    <row r="481">
      <c r="A481" s="84"/>
      <c r="F481" s="81"/>
    </row>
    <row r="482">
      <c r="A482" s="84"/>
      <c r="F482" s="81"/>
    </row>
    <row r="483">
      <c r="A483" s="84"/>
      <c r="F483" s="81"/>
    </row>
    <row r="484">
      <c r="A484" s="84"/>
      <c r="F484" s="81"/>
    </row>
    <row r="485">
      <c r="A485" s="84"/>
      <c r="F485" s="81"/>
    </row>
    <row r="486">
      <c r="A486" s="84"/>
      <c r="F486" s="81"/>
    </row>
    <row r="487">
      <c r="A487" s="84"/>
      <c r="F487" s="81"/>
    </row>
    <row r="488">
      <c r="A488" s="84"/>
      <c r="F488" s="81"/>
    </row>
    <row r="489">
      <c r="A489" s="84"/>
      <c r="F489" s="81"/>
    </row>
    <row r="490">
      <c r="A490" s="84"/>
      <c r="F490" s="81"/>
    </row>
    <row r="491">
      <c r="A491" s="84"/>
      <c r="F491" s="81"/>
    </row>
    <row r="492">
      <c r="A492" s="84"/>
      <c r="F492" s="81"/>
    </row>
    <row r="493">
      <c r="A493" s="84"/>
      <c r="F493" s="81"/>
    </row>
    <row r="494">
      <c r="A494" s="84"/>
      <c r="F494" s="81"/>
    </row>
    <row r="495">
      <c r="A495" s="84"/>
      <c r="F495" s="81"/>
    </row>
    <row r="496">
      <c r="A496" s="84"/>
      <c r="F496" s="81"/>
    </row>
    <row r="497">
      <c r="A497" s="84"/>
      <c r="F497" s="81"/>
    </row>
    <row r="498">
      <c r="A498" s="84"/>
      <c r="F498" s="81"/>
    </row>
    <row r="499">
      <c r="A499" s="84"/>
      <c r="F499" s="81"/>
    </row>
    <row r="500">
      <c r="A500" s="84"/>
      <c r="F500" s="81"/>
    </row>
    <row r="501">
      <c r="A501" s="84"/>
      <c r="F501" s="81"/>
    </row>
    <row r="502">
      <c r="A502" s="84"/>
      <c r="F502" s="81"/>
    </row>
    <row r="503">
      <c r="A503" s="84"/>
      <c r="F503" s="81"/>
    </row>
    <row r="504">
      <c r="A504" s="84"/>
      <c r="F504" s="81"/>
    </row>
    <row r="505">
      <c r="A505" s="84"/>
      <c r="F505" s="81"/>
    </row>
    <row r="506">
      <c r="A506" s="84"/>
      <c r="F506" s="81"/>
    </row>
    <row r="507">
      <c r="A507" s="84"/>
      <c r="F507" s="81"/>
    </row>
    <row r="508">
      <c r="A508" s="84"/>
      <c r="F508" s="81"/>
    </row>
    <row r="509">
      <c r="A509" s="84"/>
      <c r="F509" s="81"/>
    </row>
    <row r="510">
      <c r="A510" s="84"/>
      <c r="F510" s="81"/>
    </row>
    <row r="511">
      <c r="A511" s="84"/>
      <c r="F511" s="81"/>
    </row>
    <row r="512">
      <c r="A512" s="84"/>
      <c r="F512" s="81"/>
    </row>
    <row r="513">
      <c r="A513" s="84"/>
      <c r="F513" s="81"/>
    </row>
    <row r="514">
      <c r="A514" s="84"/>
      <c r="F514" s="81"/>
    </row>
    <row r="515">
      <c r="A515" s="84"/>
      <c r="F515" s="81"/>
    </row>
    <row r="516">
      <c r="A516" s="84"/>
      <c r="F516" s="81"/>
    </row>
    <row r="517">
      <c r="A517" s="84"/>
      <c r="F517" s="81"/>
    </row>
    <row r="518">
      <c r="A518" s="84"/>
      <c r="F518" s="81"/>
    </row>
    <row r="519">
      <c r="A519" s="84"/>
      <c r="F519" s="81"/>
    </row>
    <row r="520">
      <c r="A520" s="84"/>
      <c r="F520" s="81"/>
    </row>
    <row r="521">
      <c r="A521" s="84"/>
      <c r="F521" s="81"/>
    </row>
    <row r="522">
      <c r="A522" s="84"/>
      <c r="F522" s="81"/>
    </row>
    <row r="523">
      <c r="A523" s="84"/>
      <c r="F523" s="81"/>
    </row>
    <row r="524">
      <c r="A524" s="84"/>
      <c r="F524" s="81"/>
    </row>
    <row r="525">
      <c r="A525" s="84"/>
      <c r="F525" s="81"/>
    </row>
    <row r="526">
      <c r="A526" s="84"/>
      <c r="F526" s="81"/>
    </row>
    <row r="527">
      <c r="A527" s="84"/>
      <c r="F527" s="81"/>
    </row>
    <row r="528">
      <c r="A528" s="84"/>
      <c r="F528" s="81"/>
    </row>
    <row r="529">
      <c r="A529" s="84"/>
      <c r="F529" s="81"/>
    </row>
    <row r="530">
      <c r="A530" s="84"/>
      <c r="F530" s="81"/>
    </row>
    <row r="531">
      <c r="A531" s="84"/>
      <c r="F531" s="81"/>
    </row>
    <row r="532">
      <c r="A532" s="84"/>
      <c r="F532" s="81"/>
    </row>
    <row r="533">
      <c r="A533" s="84"/>
      <c r="F533" s="81"/>
    </row>
    <row r="534">
      <c r="A534" s="84"/>
      <c r="F534" s="81"/>
    </row>
    <row r="535">
      <c r="A535" s="84"/>
      <c r="F535" s="81"/>
    </row>
    <row r="536">
      <c r="A536" s="84"/>
      <c r="F536" s="81"/>
    </row>
    <row r="537">
      <c r="A537" s="84"/>
      <c r="F537" s="81"/>
    </row>
    <row r="538">
      <c r="A538" s="84"/>
      <c r="F538" s="81"/>
    </row>
    <row r="539">
      <c r="A539" s="84"/>
      <c r="F539" s="81"/>
    </row>
    <row r="540">
      <c r="A540" s="84"/>
      <c r="F540" s="81"/>
    </row>
    <row r="541">
      <c r="A541" s="84"/>
      <c r="F541" s="81"/>
    </row>
    <row r="542">
      <c r="A542" s="84"/>
      <c r="F542" s="81"/>
    </row>
    <row r="543">
      <c r="A543" s="84"/>
      <c r="F543" s="81"/>
    </row>
    <row r="544">
      <c r="A544" s="84"/>
      <c r="F544" s="81"/>
    </row>
    <row r="545">
      <c r="A545" s="84"/>
      <c r="F545" s="81"/>
    </row>
    <row r="546">
      <c r="A546" s="84"/>
      <c r="F546" s="81"/>
    </row>
    <row r="547">
      <c r="A547" s="84"/>
      <c r="F547" s="81"/>
    </row>
    <row r="548">
      <c r="A548" s="84"/>
      <c r="F548" s="81"/>
    </row>
    <row r="549">
      <c r="A549" s="84"/>
      <c r="F549" s="81"/>
    </row>
    <row r="550">
      <c r="A550" s="84"/>
      <c r="F550" s="81"/>
    </row>
    <row r="551">
      <c r="A551" s="84"/>
      <c r="F551" s="81"/>
    </row>
    <row r="552">
      <c r="A552" s="84"/>
      <c r="F552" s="81"/>
    </row>
    <row r="553">
      <c r="A553" s="84"/>
      <c r="F553" s="81"/>
    </row>
    <row r="554">
      <c r="A554" s="84"/>
      <c r="F554" s="81"/>
    </row>
    <row r="555">
      <c r="A555" s="84"/>
      <c r="F555" s="81"/>
    </row>
    <row r="556">
      <c r="A556" s="84"/>
      <c r="F556" s="81"/>
    </row>
    <row r="557">
      <c r="A557" s="84"/>
      <c r="F557" s="81"/>
    </row>
    <row r="558">
      <c r="A558" s="84"/>
      <c r="F558" s="81"/>
    </row>
    <row r="559">
      <c r="A559" s="84"/>
      <c r="F559" s="81"/>
    </row>
    <row r="560">
      <c r="A560" s="84"/>
      <c r="F560" s="81"/>
    </row>
    <row r="561">
      <c r="A561" s="84"/>
      <c r="F561" s="81"/>
    </row>
    <row r="562">
      <c r="A562" s="84"/>
      <c r="F562" s="81"/>
    </row>
    <row r="563">
      <c r="A563" s="84"/>
      <c r="F563" s="81"/>
    </row>
    <row r="564">
      <c r="A564" s="84"/>
      <c r="F564" s="81"/>
    </row>
    <row r="565">
      <c r="A565" s="84"/>
      <c r="F565" s="81"/>
    </row>
    <row r="566">
      <c r="A566" s="84"/>
      <c r="F566" s="81"/>
    </row>
    <row r="567">
      <c r="A567" s="84"/>
      <c r="F567" s="81"/>
    </row>
    <row r="568">
      <c r="A568" s="84"/>
      <c r="F568" s="81"/>
    </row>
    <row r="569">
      <c r="A569" s="84"/>
      <c r="F569" s="81"/>
    </row>
    <row r="570">
      <c r="A570" s="84"/>
      <c r="F570" s="81"/>
    </row>
    <row r="571">
      <c r="A571" s="84"/>
      <c r="F571" s="81"/>
    </row>
    <row r="572">
      <c r="A572" s="84"/>
      <c r="F572" s="81"/>
    </row>
    <row r="573">
      <c r="A573" s="84"/>
      <c r="F573" s="81"/>
    </row>
    <row r="574">
      <c r="A574" s="84"/>
      <c r="F574" s="81"/>
    </row>
    <row r="575">
      <c r="A575" s="84"/>
      <c r="F575" s="81"/>
    </row>
    <row r="576">
      <c r="A576" s="84"/>
      <c r="F576" s="81"/>
    </row>
    <row r="577">
      <c r="A577" s="84"/>
      <c r="F577" s="81"/>
    </row>
    <row r="578">
      <c r="A578" s="84"/>
      <c r="F578" s="81"/>
    </row>
    <row r="579">
      <c r="A579" s="84"/>
      <c r="F579" s="81"/>
    </row>
    <row r="580">
      <c r="A580" s="84"/>
      <c r="F580" s="81"/>
    </row>
    <row r="581">
      <c r="A581" s="84"/>
      <c r="F581" s="81"/>
    </row>
    <row r="582">
      <c r="A582" s="84"/>
      <c r="F582" s="81"/>
    </row>
    <row r="583">
      <c r="A583" s="84"/>
      <c r="F583" s="81"/>
    </row>
    <row r="584">
      <c r="A584" s="84"/>
      <c r="F584" s="81"/>
    </row>
    <row r="585">
      <c r="A585" s="84"/>
      <c r="F585" s="81"/>
    </row>
    <row r="586">
      <c r="A586" s="84"/>
      <c r="F586" s="81"/>
    </row>
    <row r="587">
      <c r="A587" s="84"/>
      <c r="F587" s="81"/>
    </row>
    <row r="588">
      <c r="A588" s="84"/>
      <c r="F588" s="81"/>
    </row>
    <row r="589">
      <c r="A589" s="84"/>
      <c r="F589" s="81"/>
    </row>
    <row r="590">
      <c r="A590" s="84"/>
      <c r="F590" s="81"/>
    </row>
    <row r="591">
      <c r="A591" s="84"/>
      <c r="F591" s="81"/>
    </row>
    <row r="592">
      <c r="A592" s="84"/>
      <c r="F592" s="81"/>
    </row>
    <row r="593">
      <c r="A593" s="84"/>
      <c r="F593" s="81"/>
    </row>
    <row r="594">
      <c r="A594" s="84"/>
      <c r="F594" s="81"/>
    </row>
    <row r="595">
      <c r="A595" s="84"/>
      <c r="F595" s="81"/>
    </row>
    <row r="596">
      <c r="A596" s="84"/>
      <c r="F596" s="81"/>
    </row>
    <row r="597">
      <c r="A597" s="84"/>
      <c r="F597" s="81"/>
    </row>
    <row r="598">
      <c r="A598" s="84"/>
      <c r="F598" s="81"/>
    </row>
    <row r="599">
      <c r="A599" s="84"/>
      <c r="F599" s="81"/>
    </row>
    <row r="600">
      <c r="A600" s="84"/>
      <c r="F600" s="81"/>
    </row>
    <row r="601">
      <c r="A601" s="84"/>
      <c r="F601" s="81"/>
    </row>
    <row r="602">
      <c r="A602" s="84"/>
      <c r="F602" s="81"/>
    </row>
    <row r="603">
      <c r="A603" s="84"/>
      <c r="F603" s="81"/>
    </row>
    <row r="604">
      <c r="A604" s="84"/>
      <c r="F604" s="81"/>
    </row>
    <row r="605">
      <c r="A605" s="84"/>
      <c r="F605" s="81"/>
    </row>
    <row r="606">
      <c r="A606" s="84"/>
      <c r="F606" s="81"/>
    </row>
    <row r="607">
      <c r="A607" s="84"/>
      <c r="F607" s="81"/>
    </row>
    <row r="608">
      <c r="A608" s="84"/>
      <c r="F608" s="81"/>
    </row>
    <row r="609">
      <c r="A609" s="84"/>
      <c r="F609" s="81"/>
    </row>
    <row r="610">
      <c r="A610" s="84"/>
      <c r="F610" s="81"/>
    </row>
    <row r="611">
      <c r="A611" s="84"/>
      <c r="F611" s="81"/>
    </row>
    <row r="612">
      <c r="A612" s="84"/>
      <c r="F612" s="81"/>
    </row>
    <row r="613">
      <c r="A613" s="84"/>
      <c r="F613" s="81"/>
    </row>
    <row r="614">
      <c r="A614" s="84"/>
      <c r="F614" s="81"/>
    </row>
    <row r="615">
      <c r="A615" s="84"/>
      <c r="F615" s="81"/>
    </row>
    <row r="616">
      <c r="A616" s="84"/>
      <c r="F616" s="81"/>
    </row>
    <row r="617">
      <c r="A617" s="84"/>
      <c r="F617" s="81"/>
    </row>
    <row r="618">
      <c r="A618" s="84"/>
      <c r="F618" s="81"/>
    </row>
    <row r="619">
      <c r="A619" s="84"/>
      <c r="F619" s="81"/>
    </row>
    <row r="620">
      <c r="A620" s="84"/>
      <c r="F620" s="81"/>
    </row>
    <row r="621">
      <c r="A621" s="84"/>
      <c r="F621" s="81"/>
    </row>
    <row r="622">
      <c r="A622" s="84"/>
      <c r="F622" s="81"/>
    </row>
    <row r="623">
      <c r="A623" s="84"/>
      <c r="F623" s="81"/>
    </row>
    <row r="624">
      <c r="A624" s="84"/>
      <c r="F624" s="81"/>
    </row>
    <row r="625">
      <c r="A625" s="84"/>
      <c r="F625" s="81"/>
    </row>
    <row r="626">
      <c r="A626" s="84"/>
      <c r="F626" s="81"/>
    </row>
    <row r="627">
      <c r="A627" s="84"/>
      <c r="F627" s="81"/>
    </row>
    <row r="628">
      <c r="A628" s="84"/>
      <c r="F628" s="81"/>
    </row>
    <row r="629">
      <c r="A629" s="84"/>
      <c r="F629" s="81"/>
    </row>
    <row r="630">
      <c r="A630" s="84"/>
      <c r="F630" s="81"/>
    </row>
    <row r="631">
      <c r="A631" s="84"/>
      <c r="F631" s="81"/>
    </row>
    <row r="632">
      <c r="A632" s="84"/>
      <c r="F632" s="81"/>
    </row>
    <row r="633">
      <c r="A633" s="84"/>
      <c r="F633" s="81"/>
    </row>
    <row r="634">
      <c r="A634" s="84"/>
      <c r="F634" s="81"/>
    </row>
    <row r="635">
      <c r="A635" s="84"/>
      <c r="F635" s="81"/>
    </row>
    <row r="636">
      <c r="A636" s="84"/>
      <c r="F636" s="81"/>
    </row>
    <row r="637">
      <c r="A637" s="84"/>
      <c r="F637" s="81"/>
    </row>
    <row r="638">
      <c r="A638" s="84"/>
      <c r="F638" s="81"/>
    </row>
    <row r="639">
      <c r="A639" s="84"/>
      <c r="F639" s="81"/>
    </row>
    <row r="640">
      <c r="A640" s="84"/>
      <c r="F640" s="81"/>
    </row>
    <row r="641">
      <c r="A641" s="84"/>
      <c r="F641" s="81"/>
    </row>
    <row r="642">
      <c r="A642" s="84"/>
      <c r="F642" s="81"/>
    </row>
    <row r="643">
      <c r="A643" s="84"/>
      <c r="F643" s="81"/>
    </row>
    <row r="644">
      <c r="A644" s="84"/>
      <c r="F644" s="81"/>
    </row>
    <row r="645">
      <c r="A645" s="84"/>
      <c r="F645" s="81"/>
    </row>
    <row r="646">
      <c r="A646" s="84"/>
      <c r="F646" s="81"/>
    </row>
    <row r="647">
      <c r="A647" s="84"/>
      <c r="F647" s="81"/>
    </row>
    <row r="648">
      <c r="A648" s="84"/>
      <c r="F648" s="81"/>
    </row>
    <row r="649">
      <c r="A649" s="84"/>
      <c r="F649" s="81"/>
    </row>
    <row r="650">
      <c r="A650" s="84"/>
      <c r="F650" s="81"/>
    </row>
    <row r="651">
      <c r="A651" s="84"/>
      <c r="F651" s="81"/>
    </row>
    <row r="652">
      <c r="A652" s="84"/>
      <c r="F652" s="81"/>
    </row>
    <row r="653">
      <c r="A653" s="84"/>
      <c r="F653" s="81"/>
    </row>
    <row r="654">
      <c r="A654" s="84"/>
      <c r="F654" s="81"/>
    </row>
    <row r="655">
      <c r="A655" s="84"/>
      <c r="F655" s="81"/>
    </row>
    <row r="656">
      <c r="A656" s="84"/>
      <c r="F656" s="81"/>
    </row>
    <row r="657">
      <c r="A657" s="84"/>
      <c r="F657" s="81"/>
    </row>
    <row r="658">
      <c r="A658" s="84"/>
      <c r="F658" s="81"/>
    </row>
    <row r="659">
      <c r="A659" s="84"/>
      <c r="F659" s="81"/>
    </row>
    <row r="660">
      <c r="A660" s="84"/>
      <c r="F660" s="81"/>
    </row>
    <row r="661">
      <c r="A661" s="84"/>
      <c r="F661" s="81"/>
    </row>
    <row r="662">
      <c r="A662" s="84"/>
      <c r="F662" s="81"/>
    </row>
    <row r="663">
      <c r="A663" s="84"/>
      <c r="F663" s="81"/>
    </row>
    <row r="664">
      <c r="A664" s="84"/>
      <c r="F664" s="81"/>
    </row>
    <row r="665">
      <c r="A665" s="84"/>
      <c r="F665" s="81"/>
    </row>
    <row r="666">
      <c r="A666" s="84"/>
      <c r="F666" s="81"/>
    </row>
    <row r="667">
      <c r="A667" s="84"/>
      <c r="F667" s="81"/>
    </row>
    <row r="668">
      <c r="A668" s="84"/>
      <c r="F668" s="81"/>
    </row>
    <row r="669">
      <c r="A669" s="84"/>
      <c r="F669" s="81"/>
    </row>
    <row r="670">
      <c r="A670" s="84"/>
      <c r="F670" s="81"/>
    </row>
    <row r="671">
      <c r="A671" s="84"/>
      <c r="F671" s="81"/>
    </row>
    <row r="672">
      <c r="A672" s="84"/>
      <c r="F672" s="81"/>
    </row>
    <row r="673">
      <c r="A673" s="84"/>
      <c r="F673" s="81"/>
    </row>
    <row r="674">
      <c r="A674" s="84"/>
      <c r="F674" s="81"/>
    </row>
    <row r="675">
      <c r="A675" s="84"/>
      <c r="F675" s="81"/>
    </row>
    <row r="676">
      <c r="A676" s="84"/>
      <c r="F676" s="81"/>
    </row>
    <row r="677">
      <c r="A677" s="84"/>
      <c r="F677" s="81"/>
    </row>
    <row r="678">
      <c r="A678" s="84"/>
      <c r="F678" s="81"/>
    </row>
    <row r="679">
      <c r="A679" s="84"/>
      <c r="F679" s="81"/>
    </row>
    <row r="680">
      <c r="A680" s="84"/>
      <c r="F680" s="81"/>
    </row>
    <row r="681">
      <c r="A681" s="84"/>
      <c r="F681" s="81"/>
    </row>
    <row r="682">
      <c r="A682" s="84"/>
      <c r="F682" s="81"/>
    </row>
    <row r="683">
      <c r="A683" s="84"/>
      <c r="F683" s="81"/>
    </row>
    <row r="684">
      <c r="A684" s="84"/>
      <c r="F684" s="81"/>
    </row>
    <row r="685">
      <c r="A685" s="84"/>
      <c r="F685" s="81"/>
    </row>
    <row r="686">
      <c r="A686" s="84"/>
      <c r="F686" s="81"/>
    </row>
    <row r="687">
      <c r="A687" s="84"/>
      <c r="F687" s="81"/>
    </row>
    <row r="688">
      <c r="A688" s="84"/>
      <c r="F688" s="81"/>
    </row>
    <row r="689">
      <c r="A689" s="84"/>
      <c r="F689" s="81"/>
    </row>
    <row r="690">
      <c r="A690" s="84"/>
      <c r="F690" s="81"/>
    </row>
    <row r="691">
      <c r="A691" s="84"/>
      <c r="F691" s="81"/>
    </row>
    <row r="692">
      <c r="A692" s="84"/>
      <c r="F692" s="81"/>
    </row>
    <row r="693">
      <c r="A693" s="84"/>
      <c r="F693" s="81"/>
    </row>
    <row r="694">
      <c r="A694" s="84"/>
      <c r="F694" s="81"/>
    </row>
    <row r="695">
      <c r="A695" s="84"/>
      <c r="F695" s="81"/>
    </row>
    <row r="696">
      <c r="A696" s="84"/>
      <c r="F696" s="81"/>
    </row>
    <row r="697">
      <c r="A697" s="84"/>
      <c r="F697" s="81"/>
    </row>
    <row r="698">
      <c r="A698" s="84"/>
      <c r="F698" s="81"/>
    </row>
    <row r="699">
      <c r="A699" s="84"/>
      <c r="F699" s="81"/>
    </row>
    <row r="700">
      <c r="A700" s="84"/>
      <c r="F700" s="81"/>
    </row>
    <row r="701">
      <c r="A701" s="84"/>
      <c r="F701" s="81"/>
    </row>
    <row r="702">
      <c r="A702" s="84"/>
      <c r="F702" s="81"/>
    </row>
    <row r="703">
      <c r="A703" s="84"/>
      <c r="F703" s="81"/>
    </row>
    <row r="704">
      <c r="A704" s="84"/>
      <c r="F704" s="81"/>
    </row>
    <row r="705">
      <c r="A705" s="84"/>
      <c r="F705" s="81"/>
    </row>
    <row r="706">
      <c r="A706" s="84"/>
      <c r="F706" s="81"/>
    </row>
    <row r="707">
      <c r="A707" s="84"/>
      <c r="F707" s="81"/>
    </row>
    <row r="708">
      <c r="A708" s="84"/>
      <c r="F708" s="81"/>
    </row>
    <row r="709">
      <c r="A709" s="84"/>
      <c r="F709" s="81"/>
    </row>
    <row r="710">
      <c r="A710" s="84"/>
      <c r="F710" s="81"/>
    </row>
    <row r="711">
      <c r="A711" s="84"/>
      <c r="F711" s="81"/>
    </row>
    <row r="712">
      <c r="A712" s="84"/>
      <c r="F712" s="81"/>
    </row>
    <row r="713">
      <c r="A713" s="84"/>
      <c r="F713" s="81"/>
    </row>
    <row r="714">
      <c r="A714" s="84"/>
      <c r="F714" s="81"/>
    </row>
    <row r="715">
      <c r="A715" s="84"/>
      <c r="F715" s="81"/>
    </row>
    <row r="716">
      <c r="A716" s="84"/>
      <c r="F716" s="81"/>
    </row>
    <row r="717">
      <c r="A717" s="84"/>
      <c r="F717" s="81"/>
    </row>
    <row r="718">
      <c r="A718" s="84"/>
      <c r="F718" s="81"/>
    </row>
    <row r="719">
      <c r="A719" s="84"/>
      <c r="F719" s="81"/>
    </row>
    <row r="720">
      <c r="A720" s="84"/>
      <c r="F720" s="81"/>
    </row>
    <row r="721">
      <c r="A721" s="84"/>
      <c r="F721" s="81"/>
    </row>
    <row r="722">
      <c r="A722" s="84"/>
      <c r="F722" s="81"/>
    </row>
    <row r="723">
      <c r="A723" s="84"/>
      <c r="F723" s="81"/>
    </row>
    <row r="724">
      <c r="A724" s="84"/>
      <c r="F724" s="81"/>
    </row>
    <row r="725">
      <c r="A725" s="84"/>
      <c r="F725" s="81"/>
    </row>
    <row r="726">
      <c r="A726" s="84"/>
      <c r="F726" s="81"/>
    </row>
    <row r="727">
      <c r="A727" s="84"/>
      <c r="F727" s="81"/>
    </row>
    <row r="728">
      <c r="A728" s="84"/>
      <c r="F728" s="81"/>
    </row>
    <row r="729">
      <c r="A729" s="84"/>
      <c r="F729" s="81"/>
    </row>
    <row r="730">
      <c r="A730" s="84"/>
      <c r="F730" s="81"/>
    </row>
    <row r="731">
      <c r="A731" s="84"/>
      <c r="F731" s="81"/>
    </row>
    <row r="732">
      <c r="A732" s="84"/>
      <c r="F732" s="81"/>
    </row>
    <row r="733">
      <c r="A733" s="84"/>
      <c r="F733" s="81"/>
    </row>
    <row r="734">
      <c r="A734" s="84"/>
      <c r="F734" s="81"/>
    </row>
    <row r="735">
      <c r="A735" s="84"/>
      <c r="F735" s="81"/>
    </row>
    <row r="736">
      <c r="A736" s="84"/>
      <c r="F736" s="81"/>
    </row>
    <row r="737">
      <c r="A737" s="84"/>
      <c r="F737" s="81"/>
    </row>
    <row r="738">
      <c r="A738" s="84"/>
      <c r="F738" s="81"/>
    </row>
    <row r="739">
      <c r="A739" s="84"/>
      <c r="F739" s="81"/>
    </row>
    <row r="740">
      <c r="A740" s="84"/>
      <c r="F740" s="81"/>
    </row>
    <row r="741">
      <c r="A741" s="84"/>
      <c r="F741" s="81"/>
    </row>
    <row r="742">
      <c r="A742" s="84"/>
      <c r="F742" s="81"/>
    </row>
    <row r="743">
      <c r="A743" s="84"/>
      <c r="F743" s="81"/>
    </row>
    <row r="744">
      <c r="A744" s="84"/>
      <c r="F744" s="81"/>
    </row>
    <row r="745">
      <c r="A745" s="84"/>
      <c r="F745" s="81"/>
    </row>
    <row r="746">
      <c r="A746" s="84"/>
      <c r="F746" s="81"/>
    </row>
    <row r="747">
      <c r="A747" s="84"/>
      <c r="F747" s="81"/>
    </row>
    <row r="748">
      <c r="A748" s="84"/>
      <c r="F748" s="81"/>
    </row>
    <row r="749">
      <c r="A749" s="84"/>
      <c r="F749" s="81"/>
    </row>
    <row r="750">
      <c r="A750" s="84"/>
      <c r="F750" s="81"/>
    </row>
    <row r="751">
      <c r="A751" s="84"/>
      <c r="F751" s="81"/>
    </row>
    <row r="752">
      <c r="A752" s="84"/>
      <c r="F752" s="81"/>
    </row>
    <row r="753">
      <c r="A753" s="84"/>
      <c r="F753" s="81"/>
    </row>
    <row r="754">
      <c r="A754" s="84"/>
      <c r="F754" s="81"/>
    </row>
    <row r="755">
      <c r="A755" s="84"/>
      <c r="F755" s="81"/>
    </row>
    <row r="756">
      <c r="A756" s="84"/>
      <c r="F756" s="81"/>
    </row>
    <row r="757">
      <c r="A757" s="84"/>
      <c r="F757" s="81"/>
    </row>
    <row r="758">
      <c r="A758" s="84"/>
      <c r="F758" s="81"/>
    </row>
    <row r="759">
      <c r="A759" s="84"/>
      <c r="F759" s="81"/>
    </row>
    <row r="760">
      <c r="A760" s="84"/>
      <c r="F760" s="81"/>
    </row>
    <row r="761">
      <c r="A761" s="84"/>
      <c r="F761" s="81"/>
    </row>
    <row r="762">
      <c r="A762" s="84"/>
      <c r="F762" s="81"/>
    </row>
    <row r="763">
      <c r="A763" s="84"/>
      <c r="F763" s="81"/>
    </row>
    <row r="764">
      <c r="A764" s="84"/>
      <c r="F764" s="81"/>
    </row>
    <row r="765">
      <c r="A765" s="84"/>
      <c r="F765" s="81"/>
    </row>
    <row r="766">
      <c r="A766" s="84"/>
      <c r="F766" s="81"/>
    </row>
    <row r="767">
      <c r="A767" s="84"/>
      <c r="F767" s="81"/>
    </row>
    <row r="768">
      <c r="A768" s="84"/>
      <c r="F768" s="81"/>
    </row>
    <row r="769">
      <c r="A769" s="84"/>
      <c r="F769" s="81"/>
    </row>
    <row r="770">
      <c r="A770" s="84"/>
      <c r="F770" s="81"/>
    </row>
    <row r="771">
      <c r="A771" s="84"/>
      <c r="F771" s="81"/>
    </row>
    <row r="772">
      <c r="A772" s="84"/>
      <c r="F772" s="81"/>
    </row>
    <row r="773">
      <c r="A773" s="84"/>
      <c r="F773" s="81"/>
    </row>
    <row r="774">
      <c r="A774" s="84"/>
      <c r="F774" s="81"/>
    </row>
    <row r="775">
      <c r="A775" s="84"/>
      <c r="F775" s="81"/>
    </row>
    <row r="776">
      <c r="A776" s="84"/>
      <c r="F776" s="81"/>
    </row>
    <row r="777">
      <c r="A777" s="84"/>
      <c r="F777" s="81"/>
    </row>
    <row r="778">
      <c r="A778" s="84"/>
      <c r="F778" s="81"/>
    </row>
    <row r="779">
      <c r="A779" s="84"/>
      <c r="F779" s="81"/>
    </row>
    <row r="780">
      <c r="A780" s="84"/>
      <c r="F780" s="81"/>
    </row>
    <row r="781">
      <c r="A781" s="84"/>
      <c r="F781" s="81"/>
    </row>
    <row r="782">
      <c r="A782" s="84"/>
      <c r="F782" s="81"/>
    </row>
    <row r="783">
      <c r="A783" s="84"/>
      <c r="F783" s="81"/>
    </row>
    <row r="784">
      <c r="A784" s="84"/>
      <c r="F784" s="81"/>
    </row>
    <row r="785">
      <c r="A785" s="84"/>
      <c r="F785" s="81"/>
    </row>
    <row r="786">
      <c r="A786" s="84"/>
      <c r="F786" s="81"/>
    </row>
    <row r="787">
      <c r="A787" s="84"/>
      <c r="F787" s="81"/>
    </row>
    <row r="788">
      <c r="A788" s="84"/>
      <c r="F788" s="81"/>
    </row>
    <row r="789">
      <c r="A789" s="84"/>
      <c r="F789" s="81"/>
    </row>
    <row r="790">
      <c r="A790" s="84"/>
      <c r="F790" s="81"/>
    </row>
    <row r="791">
      <c r="A791" s="84"/>
      <c r="F791" s="81"/>
    </row>
    <row r="792">
      <c r="A792" s="84"/>
      <c r="F792" s="81"/>
    </row>
    <row r="793">
      <c r="A793" s="84"/>
      <c r="F793" s="81"/>
    </row>
    <row r="794">
      <c r="A794" s="84"/>
      <c r="F794" s="81"/>
    </row>
    <row r="795">
      <c r="A795" s="84"/>
      <c r="F795" s="81"/>
    </row>
    <row r="796">
      <c r="A796" s="84"/>
      <c r="F796" s="81"/>
    </row>
    <row r="797">
      <c r="A797" s="84"/>
      <c r="F797" s="81"/>
    </row>
    <row r="798">
      <c r="A798" s="84"/>
      <c r="F798" s="81"/>
    </row>
    <row r="799">
      <c r="A799" s="84"/>
      <c r="F799" s="81"/>
    </row>
    <row r="800">
      <c r="A800" s="84"/>
      <c r="F800" s="81"/>
    </row>
    <row r="801">
      <c r="A801" s="84"/>
      <c r="F801" s="81"/>
    </row>
    <row r="802">
      <c r="A802" s="84"/>
      <c r="F802" s="81"/>
    </row>
    <row r="803">
      <c r="A803" s="84"/>
      <c r="F803" s="81"/>
    </row>
    <row r="804">
      <c r="A804" s="84"/>
      <c r="F804" s="81"/>
    </row>
    <row r="805">
      <c r="A805" s="84"/>
      <c r="F805" s="81"/>
    </row>
    <row r="806">
      <c r="A806" s="84"/>
      <c r="F806" s="81"/>
    </row>
    <row r="807">
      <c r="A807" s="84"/>
      <c r="F807" s="81"/>
    </row>
    <row r="808">
      <c r="A808" s="84"/>
      <c r="F808" s="81"/>
    </row>
    <row r="809">
      <c r="A809" s="84"/>
      <c r="F809" s="81"/>
    </row>
    <row r="810">
      <c r="A810" s="84"/>
      <c r="F810" s="81"/>
    </row>
    <row r="811">
      <c r="A811" s="84"/>
      <c r="F811" s="81"/>
    </row>
    <row r="812">
      <c r="A812" s="84"/>
      <c r="F812" s="81"/>
    </row>
    <row r="813">
      <c r="A813" s="84"/>
      <c r="F813" s="81"/>
    </row>
    <row r="814">
      <c r="A814" s="84"/>
      <c r="F814" s="81"/>
    </row>
    <row r="815">
      <c r="A815" s="84"/>
      <c r="F815" s="81"/>
    </row>
    <row r="816">
      <c r="A816" s="84"/>
      <c r="F816" s="81"/>
    </row>
    <row r="817">
      <c r="A817" s="84"/>
      <c r="F817" s="81"/>
    </row>
    <row r="818">
      <c r="A818" s="84"/>
      <c r="F818" s="81"/>
    </row>
    <row r="819">
      <c r="A819" s="84"/>
      <c r="F819" s="81"/>
    </row>
    <row r="820">
      <c r="A820" s="84"/>
      <c r="F820" s="81"/>
    </row>
    <row r="821">
      <c r="A821" s="84"/>
      <c r="F821" s="81"/>
    </row>
    <row r="822">
      <c r="A822" s="84"/>
      <c r="F822" s="81"/>
    </row>
    <row r="823">
      <c r="A823" s="84"/>
      <c r="F823" s="81"/>
    </row>
    <row r="824">
      <c r="A824" s="84"/>
      <c r="F824" s="81"/>
    </row>
    <row r="825">
      <c r="A825" s="84"/>
      <c r="F825" s="81"/>
    </row>
    <row r="826">
      <c r="A826" s="84"/>
      <c r="F826" s="81"/>
    </row>
    <row r="827">
      <c r="A827" s="84"/>
      <c r="F827" s="81"/>
    </row>
    <row r="828">
      <c r="A828" s="84"/>
      <c r="F828" s="81"/>
    </row>
    <row r="829">
      <c r="A829" s="84"/>
      <c r="F829" s="81"/>
    </row>
    <row r="830">
      <c r="A830" s="84"/>
      <c r="F830" s="81"/>
    </row>
    <row r="831">
      <c r="A831" s="84"/>
      <c r="F831" s="81"/>
    </row>
    <row r="832">
      <c r="A832" s="84"/>
      <c r="F832" s="81"/>
    </row>
    <row r="833">
      <c r="A833" s="84"/>
      <c r="F833" s="81"/>
    </row>
    <row r="834">
      <c r="A834" s="84"/>
      <c r="F834" s="81"/>
    </row>
    <row r="835">
      <c r="A835" s="84"/>
      <c r="F835" s="81"/>
    </row>
    <row r="836">
      <c r="A836" s="84"/>
      <c r="F836" s="81"/>
    </row>
    <row r="837">
      <c r="A837" s="84"/>
      <c r="F837" s="81"/>
    </row>
    <row r="838">
      <c r="A838" s="84"/>
      <c r="F838" s="81"/>
    </row>
    <row r="839">
      <c r="A839" s="84"/>
      <c r="F839" s="81"/>
    </row>
    <row r="840">
      <c r="A840" s="84"/>
      <c r="F840" s="81"/>
    </row>
    <row r="841">
      <c r="A841" s="84"/>
      <c r="F841" s="81"/>
    </row>
    <row r="842">
      <c r="A842" s="84"/>
      <c r="F842" s="81"/>
    </row>
    <row r="843">
      <c r="A843" s="84"/>
      <c r="F843" s="81"/>
    </row>
    <row r="844">
      <c r="A844" s="84"/>
      <c r="F844" s="81"/>
    </row>
    <row r="845">
      <c r="A845" s="84"/>
      <c r="F845" s="81"/>
    </row>
    <row r="846">
      <c r="A846" s="84"/>
      <c r="F846" s="81"/>
    </row>
    <row r="847">
      <c r="A847" s="84"/>
      <c r="F847" s="81"/>
    </row>
    <row r="848">
      <c r="A848" s="84"/>
      <c r="F848" s="81"/>
    </row>
    <row r="849">
      <c r="A849" s="84"/>
      <c r="F849" s="81"/>
    </row>
    <row r="850">
      <c r="A850" s="84"/>
      <c r="F850" s="81"/>
    </row>
    <row r="851">
      <c r="A851" s="84"/>
      <c r="F851" s="81"/>
    </row>
    <row r="852">
      <c r="A852" s="84"/>
      <c r="F852" s="81"/>
    </row>
    <row r="853">
      <c r="A853" s="84"/>
      <c r="F853" s="81"/>
    </row>
    <row r="854">
      <c r="A854" s="84"/>
      <c r="F854" s="81"/>
    </row>
    <row r="855">
      <c r="A855" s="84"/>
      <c r="F855" s="81"/>
    </row>
    <row r="856">
      <c r="A856" s="84"/>
      <c r="F856" s="81"/>
    </row>
    <row r="857">
      <c r="A857" s="84"/>
      <c r="F857" s="81"/>
    </row>
    <row r="858">
      <c r="A858" s="84"/>
      <c r="F858" s="81"/>
    </row>
    <row r="859">
      <c r="A859" s="84"/>
      <c r="F859" s="81"/>
    </row>
    <row r="860">
      <c r="A860" s="84"/>
      <c r="F860" s="81"/>
    </row>
    <row r="861">
      <c r="A861" s="84"/>
      <c r="F861" s="81"/>
    </row>
    <row r="862">
      <c r="A862" s="84"/>
      <c r="F862" s="81"/>
    </row>
    <row r="863">
      <c r="A863" s="84"/>
      <c r="F863" s="81"/>
    </row>
    <row r="864">
      <c r="A864" s="84"/>
      <c r="F864" s="81"/>
    </row>
    <row r="865">
      <c r="A865" s="84"/>
      <c r="F865" s="81"/>
    </row>
    <row r="866">
      <c r="A866" s="84"/>
      <c r="F866" s="81"/>
    </row>
    <row r="867">
      <c r="A867" s="84"/>
      <c r="F867" s="81"/>
    </row>
    <row r="868">
      <c r="A868" s="84"/>
      <c r="F868" s="81"/>
    </row>
    <row r="869">
      <c r="A869" s="84"/>
      <c r="F869" s="81"/>
    </row>
    <row r="870">
      <c r="A870" s="84"/>
      <c r="F870" s="81"/>
    </row>
    <row r="871">
      <c r="A871" s="84"/>
      <c r="F871" s="81"/>
    </row>
    <row r="872">
      <c r="A872" s="84"/>
      <c r="F872" s="81"/>
    </row>
    <row r="873">
      <c r="A873" s="84"/>
      <c r="F873" s="81"/>
    </row>
    <row r="874">
      <c r="A874" s="84"/>
      <c r="F874" s="81"/>
    </row>
    <row r="875">
      <c r="A875" s="84"/>
      <c r="F875" s="81"/>
    </row>
    <row r="876">
      <c r="A876" s="84"/>
      <c r="F876" s="81"/>
    </row>
    <row r="877">
      <c r="A877" s="84"/>
      <c r="F877" s="81"/>
    </row>
    <row r="878">
      <c r="A878" s="84"/>
      <c r="F878" s="81"/>
    </row>
    <row r="879">
      <c r="A879" s="84"/>
      <c r="F879" s="81"/>
    </row>
    <row r="880">
      <c r="A880" s="84"/>
      <c r="F880" s="81"/>
    </row>
    <row r="881">
      <c r="A881" s="84"/>
      <c r="F881" s="81"/>
    </row>
    <row r="882">
      <c r="A882" s="84"/>
      <c r="F882" s="81"/>
    </row>
    <row r="883">
      <c r="A883" s="84"/>
      <c r="F883" s="81"/>
    </row>
    <row r="884">
      <c r="A884" s="84"/>
      <c r="F884" s="81"/>
    </row>
    <row r="885">
      <c r="A885" s="84"/>
      <c r="F885" s="81"/>
    </row>
    <row r="886">
      <c r="A886" s="84"/>
      <c r="F886" s="81"/>
    </row>
    <row r="887">
      <c r="A887" s="84"/>
      <c r="F887" s="81"/>
    </row>
    <row r="888">
      <c r="A888" s="84"/>
      <c r="F888" s="81"/>
    </row>
    <row r="889">
      <c r="A889" s="84"/>
      <c r="F889" s="81"/>
    </row>
    <row r="890">
      <c r="A890" s="84"/>
      <c r="F890" s="81"/>
    </row>
    <row r="891">
      <c r="A891" s="84"/>
      <c r="F891" s="81"/>
    </row>
    <row r="892">
      <c r="A892" s="84"/>
      <c r="F892" s="81"/>
    </row>
    <row r="893">
      <c r="A893" s="84"/>
      <c r="F893" s="81"/>
    </row>
    <row r="894">
      <c r="A894" s="84"/>
      <c r="F894" s="81"/>
    </row>
    <row r="895">
      <c r="A895" s="84"/>
      <c r="F895" s="81"/>
    </row>
    <row r="896">
      <c r="A896" s="84"/>
      <c r="F896" s="81"/>
    </row>
    <row r="897">
      <c r="A897" s="84"/>
      <c r="F897" s="81"/>
    </row>
    <row r="898">
      <c r="A898" s="84"/>
      <c r="F898" s="81"/>
    </row>
    <row r="899">
      <c r="A899" s="84"/>
      <c r="F899" s="81"/>
    </row>
    <row r="900">
      <c r="A900" s="84"/>
      <c r="F900" s="81"/>
    </row>
    <row r="901">
      <c r="A901" s="84"/>
      <c r="F901" s="81"/>
    </row>
    <row r="902">
      <c r="A902" s="84"/>
      <c r="F902" s="81"/>
    </row>
    <row r="903">
      <c r="A903" s="84"/>
      <c r="F903" s="81"/>
    </row>
    <row r="904">
      <c r="A904" s="84"/>
      <c r="F904" s="81"/>
    </row>
    <row r="905">
      <c r="A905" s="84"/>
      <c r="F905" s="81"/>
    </row>
    <row r="906">
      <c r="A906" s="84"/>
      <c r="F906" s="81"/>
    </row>
    <row r="907">
      <c r="A907" s="84"/>
      <c r="F907" s="81"/>
    </row>
    <row r="908">
      <c r="A908" s="84"/>
      <c r="F908" s="81"/>
    </row>
    <row r="909">
      <c r="A909" s="84"/>
      <c r="F909" s="81"/>
    </row>
    <row r="910">
      <c r="A910" s="84"/>
      <c r="F910" s="81"/>
    </row>
    <row r="911">
      <c r="A911" s="84"/>
      <c r="F911" s="81"/>
    </row>
    <row r="912">
      <c r="A912" s="84"/>
      <c r="F912" s="81"/>
    </row>
    <row r="913">
      <c r="A913" s="84"/>
      <c r="F913" s="81"/>
    </row>
    <row r="914">
      <c r="A914" s="84"/>
      <c r="F914" s="81"/>
    </row>
    <row r="915">
      <c r="A915" s="84"/>
      <c r="F915" s="81"/>
    </row>
    <row r="916">
      <c r="A916" s="84"/>
      <c r="F916" s="81"/>
    </row>
    <row r="917">
      <c r="A917" s="84"/>
      <c r="F917" s="81"/>
    </row>
    <row r="918">
      <c r="A918" s="84"/>
      <c r="F918" s="81"/>
    </row>
    <row r="919">
      <c r="A919" s="84"/>
      <c r="F919" s="81"/>
    </row>
    <row r="920">
      <c r="A920" s="84"/>
      <c r="F920" s="81"/>
    </row>
    <row r="921">
      <c r="A921" s="84"/>
      <c r="F921" s="81"/>
    </row>
    <row r="922">
      <c r="A922" s="84"/>
      <c r="F922" s="81"/>
    </row>
    <row r="923">
      <c r="A923" s="84"/>
      <c r="F923" s="81"/>
    </row>
    <row r="924">
      <c r="A924" s="84"/>
      <c r="F924" s="81"/>
    </row>
    <row r="925">
      <c r="A925" s="84"/>
      <c r="F925" s="81"/>
    </row>
    <row r="926">
      <c r="A926" s="84"/>
      <c r="F926" s="81"/>
    </row>
    <row r="927">
      <c r="A927" s="84"/>
      <c r="F927" s="81"/>
    </row>
    <row r="928">
      <c r="A928" s="84"/>
      <c r="F928" s="81"/>
    </row>
    <row r="929">
      <c r="A929" s="84"/>
      <c r="F929" s="81"/>
    </row>
    <row r="930">
      <c r="A930" s="84"/>
      <c r="F930" s="81"/>
    </row>
    <row r="931">
      <c r="A931" s="84"/>
      <c r="F931" s="81"/>
    </row>
    <row r="932">
      <c r="A932" s="84"/>
      <c r="F932" s="81"/>
    </row>
    <row r="933">
      <c r="A933" s="84"/>
      <c r="F933" s="81"/>
    </row>
    <row r="934">
      <c r="A934" s="84"/>
      <c r="F934" s="81"/>
    </row>
    <row r="935">
      <c r="A935" s="84"/>
      <c r="F935" s="81"/>
    </row>
    <row r="936">
      <c r="A936" s="84"/>
      <c r="F936" s="81"/>
    </row>
    <row r="937">
      <c r="A937" s="84"/>
      <c r="F937" s="81"/>
    </row>
    <row r="938">
      <c r="A938" s="84"/>
      <c r="F938" s="81"/>
    </row>
    <row r="939">
      <c r="A939" s="84"/>
      <c r="F939" s="81"/>
    </row>
    <row r="940">
      <c r="A940" s="84"/>
      <c r="F940" s="81"/>
    </row>
    <row r="941">
      <c r="A941" s="84"/>
      <c r="F941" s="81"/>
    </row>
    <row r="942">
      <c r="A942" s="84"/>
      <c r="F942" s="81"/>
    </row>
    <row r="943">
      <c r="A943" s="84"/>
      <c r="F943" s="81"/>
    </row>
    <row r="944">
      <c r="A944" s="84"/>
      <c r="F944" s="81"/>
    </row>
    <row r="945">
      <c r="A945" s="84"/>
      <c r="F945" s="81"/>
    </row>
    <row r="946">
      <c r="A946" s="84"/>
      <c r="F946" s="81"/>
    </row>
    <row r="947">
      <c r="A947" s="84"/>
      <c r="F947" s="81"/>
    </row>
    <row r="948">
      <c r="A948" s="84"/>
      <c r="F948" s="81"/>
    </row>
    <row r="949">
      <c r="A949" s="84"/>
      <c r="F949" s="81"/>
    </row>
    <row r="950">
      <c r="A950" s="84"/>
      <c r="F950" s="81"/>
    </row>
    <row r="951">
      <c r="A951" s="84"/>
      <c r="F951" s="81"/>
    </row>
    <row r="952">
      <c r="A952" s="84"/>
      <c r="F952" s="81"/>
    </row>
    <row r="953">
      <c r="A953" s="84"/>
      <c r="F953" s="81"/>
    </row>
    <row r="954">
      <c r="A954" s="84"/>
      <c r="F954" s="81"/>
    </row>
    <row r="955">
      <c r="A955" s="84"/>
      <c r="F955" s="81"/>
    </row>
    <row r="956">
      <c r="A956" s="84"/>
      <c r="F956" s="81"/>
    </row>
    <row r="957">
      <c r="A957" s="84"/>
      <c r="F957" s="81"/>
    </row>
    <row r="958">
      <c r="A958" s="84"/>
      <c r="F958" s="81"/>
    </row>
    <row r="959">
      <c r="A959" s="84"/>
      <c r="F959" s="81"/>
    </row>
    <row r="960">
      <c r="A960" s="84"/>
      <c r="F960" s="81"/>
    </row>
    <row r="961">
      <c r="A961" s="84"/>
      <c r="F961" s="81"/>
    </row>
    <row r="962">
      <c r="A962" s="84"/>
      <c r="F962" s="81"/>
    </row>
    <row r="963">
      <c r="A963" s="84"/>
      <c r="F963" s="81"/>
    </row>
    <row r="964">
      <c r="A964" s="84"/>
      <c r="F964" s="81"/>
    </row>
    <row r="965">
      <c r="A965" s="84"/>
      <c r="F965" s="81"/>
    </row>
    <row r="966">
      <c r="A966" s="84"/>
      <c r="F966" s="81"/>
    </row>
    <row r="967">
      <c r="A967" s="84"/>
      <c r="F967" s="81"/>
    </row>
    <row r="968">
      <c r="A968" s="84"/>
      <c r="F968" s="81"/>
    </row>
    <row r="969">
      <c r="A969" s="84"/>
      <c r="F969" s="81"/>
    </row>
    <row r="970">
      <c r="A970" s="84"/>
      <c r="F970" s="81"/>
    </row>
    <row r="971">
      <c r="A971" s="84"/>
      <c r="F971" s="81"/>
    </row>
    <row r="972">
      <c r="A972" s="84"/>
      <c r="F972" s="81"/>
    </row>
    <row r="973">
      <c r="A973" s="84"/>
      <c r="F973" s="81"/>
    </row>
    <row r="974">
      <c r="A974" s="84"/>
      <c r="F974" s="81"/>
    </row>
    <row r="975">
      <c r="A975" s="84"/>
      <c r="F975" s="81"/>
    </row>
    <row r="976">
      <c r="A976" s="84"/>
      <c r="F976" s="81"/>
    </row>
    <row r="977">
      <c r="A977" s="84"/>
      <c r="F977" s="81"/>
    </row>
    <row r="978">
      <c r="A978" s="84"/>
      <c r="F978" s="81"/>
    </row>
    <row r="979">
      <c r="A979" s="84"/>
      <c r="F979" s="81"/>
    </row>
    <row r="980">
      <c r="A980" s="84"/>
      <c r="F980" s="81"/>
    </row>
    <row r="981">
      <c r="A981" s="84"/>
      <c r="F981" s="81"/>
    </row>
    <row r="982">
      <c r="A982" s="84"/>
      <c r="F982" s="81"/>
    </row>
    <row r="983">
      <c r="A983" s="84"/>
      <c r="F983" s="81"/>
    </row>
    <row r="984">
      <c r="A984" s="84"/>
      <c r="F984" s="81"/>
    </row>
    <row r="985">
      <c r="A985" s="84"/>
      <c r="F985" s="81"/>
    </row>
    <row r="986">
      <c r="A986" s="84"/>
      <c r="F986" s="81"/>
    </row>
    <row r="987">
      <c r="A987" s="84"/>
      <c r="F987" s="81"/>
    </row>
    <row r="988">
      <c r="A988" s="84"/>
      <c r="F988" s="81"/>
    </row>
    <row r="989">
      <c r="A989" s="84"/>
      <c r="F989" s="81"/>
    </row>
    <row r="990">
      <c r="A990" s="84"/>
      <c r="F990" s="81"/>
    </row>
    <row r="991">
      <c r="A991" s="84"/>
      <c r="F991" s="81"/>
    </row>
    <row r="992">
      <c r="A992" s="84"/>
      <c r="F992" s="81"/>
    </row>
    <row r="993">
      <c r="A993" s="84"/>
      <c r="F993" s="81"/>
    </row>
    <row r="994">
      <c r="A994" s="84"/>
      <c r="F994" s="81"/>
    </row>
    <row r="995">
      <c r="A995" s="84"/>
      <c r="F995" s="81"/>
    </row>
    <row r="996">
      <c r="A996" s="84"/>
      <c r="F996" s="81"/>
    </row>
    <row r="997">
      <c r="A997" s="84"/>
      <c r="F997" s="81"/>
    </row>
    <row r="998">
      <c r="A998" s="84"/>
      <c r="F998" s="81"/>
    </row>
  </sheetData>
  <mergeCells count="3">
    <mergeCell ref="B1:F1"/>
    <mergeCell ref="G1:K1"/>
    <mergeCell ref="A2:A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35.75"/>
  </cols>
  <sheetData>
    <row r="1">
      <c r="A1" s="85" t="s">
        <v>100</v>
      </c>
      <c r="B1" s="86" t="s">
        <v>73</v>
      </c>
      <c r="G1" s="87" t="s">
        <v>101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89" t="s">
        <v>75</v>
      </c>
      <c r="B2" s="90">
        <v>2021.0</v>
      </c>
      <c r="C2" s="90">
        <v>2020.0</v>
      </c>
      <c r="D2" s="90">
        <v>2019.0</v>
      </c>
      <c r="E2" s="90">
        <v>2018.0</v>
      </c>
      <c r="F2" s="91">
        <v>2017.0</v>
      </c>
      <c r="G2" s="90">
        <v>2021.0</v>
      </c>
      <c r="H2" s="90">
        <v>2020.0</v>
      </c>
      <c r="I2" s="90">
        <v>2019.0</v>
      </c>
      <c r="J2" s="90">
        <v>2018.0</v>
      </c>
      <c r="K2" s="90">
        <v>2017.0</v>
      </c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>
      <c r="B3" s="93" t="s">
        <v>76</v>
      </c>
      <c r="C3" s="93" t="s">
        <v>76</v>
      </c>
      <c r="D3" s="93" t="s">
        <v>76</v>
      </c>
      <c r="E3" s="93" t="s">
        <v>76</v>
      </c>
      <c r="F3" s="94" t="s">
        <v>76</v>
      </c>
      <c r="G3" s="93" t="s">
        <v>76</v>
      </c>
      <c r="H3" s="93" t="s">
        <v>76</v>
      </c>
      <c r="I3" s="93" t="s">
        <v>76</v>
      </c>
      <c r="J3" s="93" t="s">
        <v>76</v>
      </c>
      <c r="K3" s="93" t="s">
        <v>76</v>
      </c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>
      <c r="A4" s="95" t="s">
        <v>102</v>
      </c>
      <c r="B4" s="96">
        <f>4616.9*1000</f>
        <v>4616900</v>
      </c>
      <c r="C4" s="96">
        <f>4039*1000</f>
        <v>4039000</v>
      </c>
      <c r="D4" s="96">
        <f>4525.6*1000</f>
        <v>4525600</v>
      </c>
      <c r="E4" s="97">
        <f>4332.5*1000</f>
        <v>4332500</v>
      </c>
      <c r="F4" s="98">
        <f>4106.1*1000</f>
        <v>4106100</v>
      </c>
      <c r="G4" s="99">
        <v>8971337.0</v>
      </c>
      <c r="H4" s="99">
        <v>8149719.0</v>
      </c>
      <c r="I4" s="99">
        <v>7986252.0</v>
      </c>
      <c r="J4" s="99">
        <v>7791069.0</v>
      </c>
      <c r="K4" s="99">
        <v>7515426.0</v>
      </c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>
      <c r="A5" s="100" t="s">
        <v>103</v>
      </c>
      <c r="B5" s="96">
        <f>-1588.4*1000 + 70.3 *1000 + (-986 * 1000)</f>
        <v>-2504100</v>
      </c>
      <c r="C5" s="96">
        <f>-1435*1000 + 13.4*1000 + (-885.4 * 1000)</f>
        <v>-2307000</v>
      </c>
      <c r="D5" s="96">
        <f>-1505.8*1000 + (-11.8*1000) + (-978.9*1000)</f>
        <v>-2496500</v>
      </c>
      <c r="E5" s="96">
        <f>-1463.2*1000 + 29.2*1000 +(-938.4*1000)</f>
        <v>-2372400</v>
      </c>
      <c r="F5" s="98">
        <f>-1488.3*1000+63*1000+(-886.4*1000)</f>
        <v>-2311700</v>
      </c>
      <c r="G5" s="99">
        <v>-4922739.0</v>
      </c>
      <c r="H5" s="99">
        <v>-4448450.0</v>
      </c>
      <c r="I5" s="99">
        <v>-4363774.0</v>
      </c>
      <c r="J5" s="99">
        <v>-4215744.0</v>
      </c>
      <c r="K5" s="99">
        <v>-4060050.0</v>
      </c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>
      <c r="A6" s="101" t="s">
        <v>104</v>
      </c>
      <c r="B6" s="60">
        <f t="shared" ref="B6:K6" si="1">B4+B5</f>
        <v>2112800</v>
      </c>
      <c r="C6" s="60">
        <f t="shared" si="1"/>
        <v>1732000</v>
      </c>
      <c r="D6" s="60">
        <f t="shared" si="1"/>
        <v>2029100</v>
      </c>
      <c r="E6" s="60">
        <f t="shared" si="1"/>
        <v>1960100</v>
      </c>
      <c r="F6" s="61">
        <f t="shared" si="1"/>
        <v>1794400</v>
      </c>
      <c r="G6" s="60">
        <f t="shared" si="1"/>
        <v>4048598</v>
      </c>
      <c r="H6" s="60">
        <f t="shared" si="1"/>
        <v>3701269</v>
      </c>
      <c r="I6" s="60">
        <f t="shared" si="1"/>
        <v>3622478</v>
      </c>
      <c r="J6" s="60">
        <f t="shared" si="1"/>
        <v>3575325</v>
      </c>
      <c r="K6" s="60">
        <f t="shared" si="1"/>
        <v>3455376</v>
      </c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>
      <c r="A7" s="102" t="s">
        <v>105</v>
      </c>
      <c r="B7" s="97"/>
      <c r="C7" s="97"/>
      <c r="D7" s="97"/>
      <c r="E7" s="97"/>
      <c r="F7" s="9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>
      <c r="A8" s="102" t="s">
        <v>106</v>
      </c>
      <c r="B8" s="53"/>
      <c r="C8" s="53"/>
      <c r="D8" s="97"/>
      <c r="E8" s="97"/>
      <c r="F8" s="98"/>
      <c r="G8" s="99">
        <v>-2001351.0</v>
      </c>
      <c r="H8" s="99">
        <v>-1890925.0</v>
      </c>
      <c r="I8" s="99">
        <v>-1905929.0</v>
      </c>
      <c r="J8" s="99">
        <v>-1874829.0</v>
      </c>
      <c r="K8" s="99">
        <v>-1885492.0</v>
      </c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>
      <c r="A9" s="103" t="s">
        <v>107</v>
      </c>
      <c r="B9" s="96">
        <f>-1191.3*1000</f>
        <v>-1191300</v>
      </c>
      <c r="C9" s="97">
        <f>-1035.9*1000</f>
        <v>-1035900</v>
      </c>
      <c r="D9" s="96">
        <f>-1113.3*1000</f>
        <v>-1113300</v>
      </c>
      <c r="E9" s="97">
        <f>-1143.9*1000</f>
        <v>-1143900</v>
      </c>
      <c r="F9" s="98">
        <f>-1030*1000</f>
        <v>-1030000</v>
      </c>
      <c r="G9" s="88"/>
      <c r="H9" s="99">
        <v>-9143.0</v>
      </c>
      <c r="I9" s="99">
        <v>-112485.0</v>
      </c>
      <c r="J9" s="99">
        <v>-57729.0</v>
      </c>
      <c r="K9" s="99">
        <v>-208712.0</v>
      </c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>
      <c r="A10" s="102" t="s">
        <v>108</v>
      </c>
      <c r="B10" s="53"/>
      <c r="C10" s="53"/>
      <c r="D10" s="97"/>
      <c r="E10" s="97"/>
      <c r="F10" s="98"/>
      <c r="G10" s="99">
        <v>-3525.0</v>
      </c>
      <c r="H10" s="99">
        <v>-18503.0</v>
      </c>
      <c r="I10" s="99">
        <v>-8112.0</v>
      </c>
      <c r="J10" s="99">
        <v>-19103.0</v>
      </c>
      <c r="K10" s="99">
        <v>-47763.0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>
      <c r="A11" s="102" t="s">
        <v>109</v>
      </c>
      <c r="B11" s="97">
        <f>-276.6*1000</f>
        <v>-276600</v>
      </c>
      <c r="C11" s="97">
        <f>-275.8*1000</f>
        <v>-275800</v>
      </c>
      <c r="D11" s="97">
        <f>-322.8*1000</f>
        <v>-322800</v>
      </c>
      <c r="E11" s="97">
        <f>-179.5*1000</f>
        <v>-179500</v>
      </c>
      <c r="F11" s="98">
        <f>-169*1000</f>
        <v>-169000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>
      <c r="A12" s="104" t="s">
        <v>110</v>
      </c>
      <c r="B12" s="60">
        <f t="shared" ref="B12:K12" si="2">SUM(B6:B11)</f>
        <v>644900</v>
      </c>
      <c r="C12" s="60">
        <f t="shared" si="2"/>
        <v>420300</v>
      </c>
      <c r="D12" s="60">
        <f t="shared" si="2"/>
        <v>593000</v>
      </c>
      <c r="E12" s="60">
        <f t="shared" si="2"/>
        <v>636700</v>
      </c>
      <c r="F12" s="61">
        <f t="shared" si="2"/>
        <v>595400</v>
      </c>
      <c r="G12" s="60">
        <f t="shared" si="2"/>
        <v>2043722</v>
      </c>
      <c r="H12" s="60">
        <f t="shared" si="2"/>
        <v>1782698</v>
      </c>
      <c r="I12" s="60">
        <f t="shared" si="2"/>
        <v>1595952</v>
      </c>
      <c r="J12" s="60">
        <f t="shared" si="2"/>
        <v>1623664</v>
      </c>
      <c r="K12" s="60">
        <f t="shared" si="2"/>
        <v>1313409</v>
      </c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>
      <c r="A13" s="100" t="s">
        <v>111</v>
      </c>
      <c r="B13" s="97">
        <f>4.1*1000 + (-27.3 * 1000)</f>
        <v>-23200</v>
      </c>
      <c r="C13" s="97">
        <f> 2.3* 1000 + (-28.5*1000)</f>
        <v>-26200</v>
      </c>
      <c r="D13" s="97">
        <f>3.1*1000 + (-35*1000)</f>
        <v>-31900</v>
      </c>
      <c r="E13" s="97">
        <f>3.8*1000+(-19.9*1000)</f>
        <v>-16100</v>
      </c>
      <c r="F13" s="98">
        <f>3*1000+(-15.6*1000)</f>
        <v>-12600</v>
      </c>
      <c r="G13" s="88">
        <f>-(127417+119081)</f>
        <v>-246498</v>
      </c>
      <c r="H13" s="88">
        <f>-(149374+138327)</f>
        <v>-287701</v>
      </c>
      <c r="I13" s="88">
        <f>-(144125+71043)</f>
        <v>-215168</v>
      </c>
      <c r="J13" s="88">
        <f>-(138837+74766)</f>
        <v>-213603</v>
      </c>
      <c r="K13" s="88">
        <f>-(98282+104459)</f>
        <v>-202741</v>
      </c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>
      <c r="A14" s="101" t="s">
        <v>112</v>
      </c>
      <c r="B14" s="60">
        <f t="shared" ref="B14:K14" si="3">SUM(B12:B13)</f>
        <v>621700</v>
      </c>
      <c r="C14" s="60">
        <f t="shared" si="3"/>
        <v>394100</v>
      </c>
      <c r="D14" s="60">
        <f t="shared" si="3"/>
        <v>561100</v>
      </c>
      <c r="E14" s="60">
        <f t="shared" si="3"/>
        <v>620600</v>
      </c>
      <c r="F14" s="61">
        <f t="shared" si="3"/>
        <v>582800</v>
      </c>
      <c r="G14" s="60">
        <f t="shared" si="3"/>
        <v>1797224</v>
      </c>
      <c r="H14" s="60">
        <f t="shared" si="3"/>
        <v>1494997</v>
      </c>
      <c r="I14" s="60">
        <f t="shared" si="3"/>
        <v>1380784</v>
      </c>
      <c r="J14" s="60">
        <f t="shared" si="3"/>
        <v>1410061</v>
      </c>
      <c r="K14" s="60">
        <f t="shared" si="3"/>
        <v>1110668</v>
      </c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>
      <c r="A15" s="100" t="s">
        <v>113</v>
      </c>
      <c r="B15" s="97">
        <f>-131.2*1000</f>
        <v>-131200</v>
      </c>
      <c r="C15" s="97">
        <f>-74*1000</f>
        <v>-74000</v>
      </c>
      <c r="D15" s="97">
        <f>-49.2*1000</f>
        <v>-49200</v>
      </c>
      <c r="E15" s="97">
        <f>-133.5*1000</f>
        <v>-133500</v>
      </c>
      <c r="F15" s="98">
        <f>-130.3*1000</f>
        <v>-130300</v>
      </c>
      <c r="G15" s="99">
        <v>-314405.0</v>
      </c>
      <c r="H15" s="99">
        <v>-219584.0</v>
      </c>
      <c r="I15" s="99">
        <v>-234032.0</v>
      </c>
      <c r="J15" s="99">
        <v>-239010.0</v>
      </c>
      <c r="K15" s="99">
        <v>-354131.0</v>
      </c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>
      <c r="A16" s="101" t="s">
        <v>114</v>
      </c>
      <c r="B16" s="60">
        <f t="shared" ref="B16:K16" si="4">SUM(B14:B15)</f>
        <v>490500</v>
      </c>
      <c r="C16" s="60">
        <f t="shared" si="4"/>
        <v>320100</v>
      </c>
      <c r="D16" s="60">
        <f t="shared" si="4"/>
        <v>511900</v>
      </c>
      <c r="E16" s="60">
        <f t="shared" si="4"/>
        <v>487100</v>
      </c>
      <c r="F16" s="61">
        <f t="shared" si="4"/>
        <v>452500</v>
      </c>
      <c r="G16" s="60">
        <f t="shared" si="4"/>
        <v>1482819</v>
      </c>
      <c r="H16" s="60">
        <f t="shared" si="4"/>
        <v>1275413</v>
      </c>
      <c r="I16" s="60">
        <f t="shared" si="4"/>
        <v>1146752</v>
      </c>
      <c r="J16" s="60">
        <f t="shared" si="4"/>
        <v>1171051</v>
      </c>
      <c r="K16" s="60">
        <f t="shared" si="4"/>
        <v>756537</v>
      </c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>
      <c r="A17" s="102" t="s">
        <v>115</v>
      </c>
      <c r="B17" s="96">
        <v>31400.0</v>
      </c>
      <c r="C17" s="96">
        <v>22200.0</v>
      </c>
      <c r="D17" s="96">
        <v>16600.0</v>
      </c>
      <c r="E17" s="96">
        <v>19300.0</v>
      </c>
      <c r="F17" s="105">
        <v>17000.0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>
      <c r="A18" s="106" t="s">
        <v>116</v>
      </c>
      <c r="B18" s="97"/>
      <c r="C18" s="97"/>
      <c r="D18" s="97"/>
      <c r="E18" s="97"/>
      <c r="F18" s="9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>
      <c r="A19" s="102" t="s">
        <v>117</v>
      </c>
      <c r="B19" s="97"/>
      <c r="C19" s="97"/>
      <c r="D19" s="97"/>
      <c r="E19" s="97"/>
      <c r="F19" s="9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>
      <c r="A20" s="102" t="s">
        <v>118</v>
      </c>
      <c r="B20" s="96"/>
      <c r="C20" s="97">
        <f>-1.6*1000</f>
        <v>-1600</v>
      </c>
      <c r="D20" s="97">
        <f>2.3*1000</f>
        <v>2300</v>
      </c>
      <c r="E20" s="97">
        <f>2*1000</f>
        <v>2000</v>
      </c>
      <c r="F20" s="98">
        <f>1.8*1000</f>
        <v>1800</v>
      </c>
      <c r="G20" s="99">
        <v>5307.0</v>
      </c>
      <c r="H20" s="99">
        <v>-3295.0</v>
      </c>
      <c r="I20" s="99">
        <v>-2940.0</v>
      </c>
      <c r="J20" s="99">
        <v>-6511.0</v>
      </c>
      <c r="K20" s="99">
        <v>-26444.0</v>
      </c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>
      <c r="A21" s="102" t="s">
        <v>119</v>
      </c>
      <c r="B21" s="97"/>
      <c r="C21" s="97"/>
      <c r="D21" s="97"/>
      <c r="E21" s="97"/>
      <c r="F21" s="9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>
      <c r="A22" s="95" t="s">
        <v>120</v>
      </c>
      <c r="B22" s="97"/>
      <c r="C22" s="97"/>
      <c r="D22" s="97"/>
      <c r="E22" s="97"/>
      <c r="F22" s="9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>
      <c r="A23" s="102" t="s">
        <v>121</v>
      </c>
      <c r="B23" s="97"/>
      <c r="C23" s="97"/>
      <c r="D23" s="97"/>
      <c r="E23" s="97"/>
      <c r="F23" s="9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>
      <c r="A24" s="95" t="s">
        <v>122</v>
      </c>
      <c r="B24" s="97"/>
      <c r="C24" s="97"/>
      <c r="D24" s="97"/>
      <c r="E24" s="97"/>
      <c r="F24" s="9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>
      <c r="A25" s="95" t="s">
        <v>123</v>
      </c>
      <c r="B25" s="97"/>
      <c r="C25" s="97"/>
      <c r="D25" s="97"/>
      <c r="E25" s="97"/>
      <c r="F25" s="9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>
      <c r="A26" s="102" t="s">
        <v>124</v>
      </c>
      <c r="B26" s="97"/>
      <c r="C26" s="97"/>
      <c r="D26" s="97"/>
      <c r="E26" s="97"/>
      <c r="F26" s="9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>
      <c r="A27" s="102" t="s">
        <v>125</v>
      </c>
      <c r="B27" s="97"/>
      <c r="C27" s="97"/>
      <c r="D27" s="97"/>
      <c r="E27" s="97"/>
      <c r="F27" s="9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>
      <c r="A28" s="95" t="s">
        <v>126</v>
      </c>
      <c r="B28" s="97"/>
      <c r="C28" s="97"/>
      <c r="D28" s="97"/>
      <c r="E28" s="97"/>
      <c r="F28" s="9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>
      <c r="A29" s="95" t="s">
        <v>127</v>
      </c>
      <c r="B29" s="97"/>
      <c r="C29" s="97"/>
      <c r="D29" s="97"/>
      <c r="E29" s="97"/>
      <c r="F29" s="9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>
      <c r="A30" s="95" t="s">
        <v>128</v>
      </c>
      <c r="B30" s="97"/>
      <c r="C30" s="97"/>
      <c r="D30" s="97"/>
      <c r="E30" s="97"/>
      <c r="F30" s="9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>
      <c r="A31" s="107"/>
      <c r="B31" s="88"/>
      <c r="C31" s="88"/>
      <c r="D31" s="88"/>
      <c r="E31" s="88"/>
      <c r="F31" s="10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>
      <c r="A32" s="109"/>
      <c r="B32" s="88"/>
      <c r="C32" s="88"/>
      <c r="D32" s="88"/>
      <c r="E32" s="88"/>
      <c r="F32" s="10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>
      <c r="A33" s="107"/>
      <c r="B33" s="88"/>
      <c r="C33" s="88"/>
      <c r="D33" s="88"/>
      <c r="E33" s="88"/>
      <c r="F33" s="10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>
      <c r="A34" s="109"/>
      <c r="B34" s="88"/>
      <c r="C34" s="88"/>
      <c r="D34" s="88"/>
      <c r="E34" s="88"/>
      <c r="F34" s="10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>
      <c r="A35" s="107"/>
      <c r="B35" s="88"/>
      <c r="C35" s="88"/>
      <c r="D35" s="88"/>
      <c r="E35" s="88"/>
      <c r="F35" s="10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>
      <c r="A36" s="107"/>
      <c r="B36" s="88"/>
      <c r="C36" s="88"/>
      <c r="D36" s="88"/>
      <c r="E36" s="88"/>
      <c r="F36" s="10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>
      <c r="A37" s="107"/>
      <c r="B37" s="88"/>
      <c r="C37" s="88"/>
      <c r="D37" s="88"/>
      <c r="E37" s="88"/>
      <c r="F37" s="10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>
      <c r="A38" s="109"/>
      <c r="B38" s="88"/>
      <c r="C38" s="88"/>
      <c r="D38" s="88"/>
      <c r="E38" s="88"/>
      <c r="F38" s="10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>
      <c r="A39" s="107"/>
      <c r="B39" s="88"/>
      <c r="C39" s="88"/>
      <c r="D39" s="88"/>
      <c r="E39" s="88"/>
      <c r="F39" s="10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>
      <c r="A40" s="107"/>
      <c r="B40" s="88"/>
      <c r="C40" s="88"/>
      <c r="D40" s="88"/>
      <c r="E40" s="88"/>
      <c r="F40" s="10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>
      <c r="A41" s="107"/>
      <c r="B41" s="88"/>
      <c r="C41" s="88"/>
      <c r="D41" s="88"/>
      <c r="E41" s="88"/>
      <c r="F41" s="10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>
      <c r="A42" s="110"/>
      <c r="B42" s="88"/>
      <c r="C42" s="88"/>
      <c r="D42" s="88"/>
      <c r="E42" s="88"/>
      <c r="F42" s="10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>
      <c r="A43" s="110"/>
      <c r="B43" s="88"/>
      <c r="C43" s="88"/>
      <c r="D43" s="88"/>
      <c r="E43" s="88"/>
      <c r="F43" s="10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>
      <c r="A44" s="110"/>
      <c r="B44" s="88"/>
      <c r="C44" s="88"/>
      <c r="D44" s="88"/>
      <c r="E44" s="88"/>
      <c r="F44" s="10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>
      <c r="A45" s="110"/>
      <c r="B45" s="88"/>
      <c r="C45" s="88"/>
      <c r="D45" s="88"/>
      <c r="E45" s="88"/>
      <c r="F45" s="10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>
      <c r="A46" s="110"/>
      <c r="B46" s="88"/>
      <c r="C46" s="88"/>
      <c r="D46" s="88"/>
      <c r="E46" s="88"/>
      <c r="F46" s="10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>
      <c r="A47" s="111"/>
      <c r="B47" s="88"/>
      <c r="C47" s="88"/>
      <c r="D47" s="88"/>
      <c r="E47" s="88"/>
      <c r="F47" s="10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>
      <c r="A48" s="111"/>
      <c r="B48" s="88"/>
      <c r="C48" s="88"/>
      <c r="D48" s="88"/>
      <c r="E48" s="88"/>
      <c r="F48" s="10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>
      <c r="A49" s="112"/>
      <c r="B49" s="88"/>
      <c r="C49" s="88"/>
      <c r="D49" s="88"/>
      <c r="E49" s="88"/>
      <c r="F49" s="10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>
      <c r="A50" s="112"/>
      <c r="B50" s="88"/>
      <c r="C50" s="88"/>
      <c r="D50" s="88"/>
      <c r="E50" s="88"/>
      <c r="F50" s="10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>
      <c r="A51" s="110"/>
      <c r="B51" s="88"/>
      <c r="C51" s="88"/>
      <c r="D51" s="88"/>
      <c r="E51" s="88"/>
      <c r="F51" s="10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>
      <c r="A52" s="110"/>
      <c r="B52" s="88"/>
      <c r="C52" s="88"/>
      <c r="D52" s="88"/>
      <c r="E52" s="88"/>
      <c r="F52" s="10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>
      <c r="A53" s="111"/>
      <c r="B53" s="88"/>
      <c r="C53" s="88"/>
      <c r="D53" s="88"/>
      <c r="E53" s="88"/>
      <c r="F53" s="10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>
      <c r="A54" s="111"/>
      <c r="B54" s="88"/>
      <c r="C54" s="88"/>
      <c r="D54" s="88"/>
      <c r="E54" s="88"/>
      <c r="F54" s="10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>
      <c r="A55" s="111"/>
      <c r="B55" s="88"/>
      <c r="C55" s="88"/>
      <c r="D55" s="88"/>
      <c r="E55" s="88"/>
      <c r="F55" s="10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>
      <c r="A56" s="111"/>
      <c r="B56" s="88"/>
      <c r="C56" s="88"/>
      <c r="D56" s="88"/>
      <c r="E56" s="88"/>
      <c r="F56" s="10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111"/>
      <c r="B57" s="88"/>
      <c r="C57" s="88"/>
      <c r="D57" s="88"/>
      <c r="E57" s="88"/>
      <c r="F57" s="10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>
      <c r="A58" s="111"/>
      <c r="B58" s="88"/>
      <c r="C58" s="88"/>
      <c r="D58" s="88"/>
      <c r="E58" s="88"/>
      <c r="F58" s="10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>
      <c r="A59" s="111"/>
      <c r="B59" s="88"/>
      <c r="C59" s="88"/>
      <c r="D59" s="88"/>
      <c r="E59" s="88"/>
      <c r="F59" s="10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>
      <c r="A60" s="111"/>
      <c r="B60" s="88"/>
      <c r="C60" s="88"/>
      <c r="D60" s="88"/>
      <c r="E60" s="88"/>
      <c r="F60" s="10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>
      <c r="A61" s="111"/>
      <c r="B61" s="88"/>
      <c r="C61" s="88"/>
      <c r="D61" s="88"/>
      <c r="E61" s="88"/>
      <c r="F61" s="10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>
      <c r="A62" s="111"/>
      <c r="B62" s="88"/>
      <c r="C62" s="88"/>
      <c r="D62" s="88"/>
      <c r="E62" s="88"/>
      <c r="F62" s="10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>
      <c r="A63" s="111"/>
      <c r="B63" s="88"/>
      <c r="C63" s="88"/>
      <c r="D63" s="88"/>
      <c r="E63" s="88"/>
      <c r="F63" s="10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>
      <c r="A64" s="111"/>
      <c r="B64" s="88"/>
      <c r="C64" s="88"/>
      <c r="D64" s="88"/>
      <c r="E64" s="88"/>
      <c r="F64" s="10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>
      <c r="A65" s="111"/>
      <c r="B65" s="88"/>
      <c r="C65" s="88"/>
      <c r="D65" s="88"/>
      <c r="E65" s="88"/>
      <c r="F65" s="10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>
      <c r="A66" s="111"/>
      <c r="B66" s="88"/>
      <c r="C66" s="88"/>
      <c r="D66" s="88"/>
      <c r="E66" s="88"/>
      <c r="F66" s="10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>
      <c r="A67" s="111"/>
      <c r="B67" s="88"/>
      <c r="C67" s="88"/>
      <c r="D67" s="88"/>
      <c r="E67" s="88"/>
      <c r="F67" s="10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>
      <c r="A68" s="111"/>
      <c r="B68" s="88"/>
      <c r="C68" s="88"/>
      <c r="D68" s="88"/>
      <c r="E68" s="88"/>
      <c r="F68" s="10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>
      <c r="A69" s="111"/>
      <c r="B69" s="88"/>
      <c r="C69" s="88"/>
      <c r="D69" s="88"/>
      <c r="E69" s="88"/>
      <c r="F69" s="10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>
      <c r="A70" s="111"/>
      <c r="B70" s="88"/>
      <c r="C70" s="88"/>
      <c r="D70" s="88"/>
      <c r="E70" s="88"/>
      <c r="F70" s="10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>
      <c r="A71" s="111"/>
      <c r="B71" s="88"/>
      <c r="C71" s="88"/>
      <c r="D71" s="88"/>
      <c r="E71" s="88"/>
      <c r="F71" s="10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>
      <c r="A72" s="111"/>
      <c r="B72" s="88"/>
      <c r="C72" s="88"/>
      <c r="D72" s="88"/>
      <c r="E72" s="88"/>
      <c r="F72" s="10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>
      <c r="A73" s="111"/>
      <c r="B73" s="88"/>
      <c r="C73" s="88"/>
      <c r="D73" s="88"/>
      <c r="E73" s="88"/>
      <c r="F73" s="10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>
      <c r="A74" s="111"/>
      <c r="B74" s="88"/>
      <c r="C74" s="88"/>
      <c r="D74" s="88"/>
      <c r="E74" s="88"/>
      <c r="F74" s="10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>
      <c r="A75" s="111"/>
      <c r="B75" s="88"/>
      <c r="C75" s="88"/>
      <c r="D75" s="88"/>
      <c r="E75" s="88"/>
      <c r="F75" s="10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>
      <c r="A76" s="111"/>
      <c r="B76" s="88"/>
      <c r="C76" s="88"/>
      <c r="D76" s="88"/>
      <c r="E76" s="88"/>
      <c r="F76" s="10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>
      <c r="A77" s="111"/>
      <c r="B77" s="88"/>
      <c r="C77" s="88"/>
      <c r="D77" s="88"/>
      <c r="E77" s="88"/>
      <c r="F77" s="10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>
      <c r="A78" s="111"/>
      <c r="B78" s="88"/>
      <c r="C78" s="88"/>
      <c r="D78" s="88"/>
      <c r="E78" s="88"/>
      <c r="F78" s="10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>
      <c r="A79" s="111"/>
      <c r="B79" s="88"/>
      <c r="C79" s="88"/>
      <c r="D79" s="88"/>
      <c r="E79" s="88"/>
      <c r="F79" s="10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>
      <c r="A80" s="111"/>
      <c r="B80" s="88"/>
      <c r="C80" s="88"/>
      <c r="D80" s="88"/>
      <c r="E80" s="88"/>
      <c r="F80" s="10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>
      <c r="A81" s="111"/>
      <c r="B81" s="88"/>
      <c r="C81" s="88"/>
      <c r="D81" s="88"/>
      <c r="E81" s="88"/>
      <c r="F81" s="10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>
      <c r="A82" s="111"/>
      <c r="B82" s="88"/>
      <c r="C82" s="88"/>
      <c r="D82" s="88"/>
      <c r="E82" s="88"/>
      <c r="F82" s="10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>
      <c r="A83" s="111"/>
      <c r="B83" s="88"/>
      <c r="C83" s="88"/>
      <c r="D83" s="88"/>
      <c r="E83" s="88"/>
      <c r="F83" s="10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>
      <c r="A84" s="111"/>
      <c r="B84" s="88"/>
      <c r="C84" s="88"/>
      <c r="D84" s="88"/>
      <c r="E84" s="88"/>
      <c r="F84" s="10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>
      <c r="A85" s="111"/>
      <c r="B85" s="88"/>
      <c r="C85" s="88"/>
      <c r="D85" s="88"/>
      <c r="E85" s="88"/>
      <c r="F85" s="10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>
      <c r="A86" s="111"/>
      <c r="B86" s="88"/>
      <c r="C86" s="88"/>
      <c r="D86" s="88"/>
      <c r="E86" s="88"/>
      <c r="F86" s="10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>
      <c r="A87" s="111"/>
      <c r="B87" s="88"/>
      <c r="C87" s="88"/>
      <c r="D87" s="88"/>
      <c r="E87" s="88"/>
      <c r="F87" s="10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>
      <c r="A88" s="111"/>
      <c r="B88" s="88"/>
      <c r="C88" s="88"/>
      <c r="D88" s="88"/>
      <c r="E88" s="88"/>
      <c r="F88" s="10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>
      <c r="A89" s="111"/>
      <c r="B89" s="88"/>
      <c r="C89" s="88"/>
      <c r="D89" s="88"/>
      <c r="E89" s="88"/>
      <c r="F89" s="10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>
      <c r="A90" s="111"/>
      <c r="B90" s="88"/>
      <c r="C90" s="88"/>
      <c r="D90" s="88"/>
      <c r="E90" s="88"/>
      <c r="F90" s="10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>
      <c r="A91" s="111"/>
      <c r="B91" s="88"/>
      <c r="C91" s="88"/>
      <c r="D91" s="88"/>
      <c r="E91" s="88"/>
      <c r="F91" s="10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>
      <c r="A92" s="111"/>
      <c r="B92" s="88"/>
      <c r="C92" s="88"/>
      <c r="D92" s="88"/>
      <c r="E92" s="88"/>
      <c r="F92" s="10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>
      <c r="A93" s="111"/>
      <c r="B93" s="88"/>
      <c r="C93" s="88"/>
      <c r="D93" s="88"/>
      <c r="E93" s="88"/>
      <c r="F93" s="10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>
      <c r="A94" s="111"/>
      <c r="B94" s="88"/>
      <c r="C94" s="88"/>
      <c r="D94" s="88"/>
      <c r="E94" s="88"/>
      <c r="F94" s="10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>
      <c r="A95" s="111"/>
      <c r="B95" s="88"/>
      <c r="C95" s="88"/>
      <c r="D95" s="88"/>
      <c r="E95" s="88"/>
      <c r="F95" s="10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>
      <c r="A96" s="111"/>
      <c r="B96" s="88"/>
      <c r="C96" s="88"/>
      <c r="D96" s="88"/>
      <c r="E96" s="88"/>
      <c r="F96" s="10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>
      <c r="A97" s="111"/>
      <c r="B97" s="88"/>
      <c r="C97" s="88"/>
      <c r="D97" s="88"/>
      <c r="E97" s="88"/>
      <c r="F97" s="10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>
      <c r="A98" s="111"/>
      <c r="B98" s="88"/>
      <c r="C98" s="88"/>
      <c r="D98" s="88"/>
      <c r="E98" s="88"/>
      <c r="F98" s="10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>
      <c r="A99" s="111"/>
      <c r="B99" s="88"/>
      <c r="C99" s="88"/>
      <c r="D99" s="88"/>
      <c r="E99" s="88"/>
      <c r="F99" s="10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>
      <c r="A100" s="111"/>
      <c r="B100" s="88"/>
      <c r="C100" s="88"/>
      <c r="D100" s="88"/>
      <c r="E100" s="88"/>
      <c r="F100" s="10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>
      <c r="A101" s="111"/>
      <c r="B101" s="88"/>
      <c r="C101" s="88"/>
      <c r="D101" s="88"/>
      <c r="E101" s="88"/>
      <c r="F101" s="10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>
      <c r="A102" s="111"/>
      <c r="B102" s="88"/>
      <c r="C102" s="88"/>
      <c r="D102" s="88"/>
      <c r="E102" s="88"/>
      <c r="F102" s="10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>
      <c r="A103" s="111"/>
      <c r="B103" s="88"/>
      <c r="C103" s="88"/>
      <c r="D103" s="88"/>
      <c r="E103" s="88"/>
      <c r="F103" s="10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>
      <c r="A104" s="111"/>
      <c r="B104" s="88"/>
      <c r="C104" s="88"/>
      <c r="D104" s="88"/>
      <c r="E104" s="88"/>
      <c r="F104" s="10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>
      <c r="A105" s="111"/>
      <c r="B105" s="88"/>
      <c r="C105" s="88"/>
      <c r="D105" s="88"/>
      <c r="E105" s="88"/>
      <c r="F105" s="10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>
      <c r="A106" s="111"/>
      <c r="B106" s="88"/>
      <c r="C106" s="88"/>
      <c r="D106" s="88"/>
      <c r="E106" s="88"/>
      <c r="F106" s="10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>
      <c r="A107" s="111"/>
      <c r="B107" s="88"/>
      <c r="C107" s="88"/>
      <c r="D107" s="88"/>
      <c r="E107" s="88"/>
      <c r="F107" s="10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>
      <c r="A108" s="111"/>
      <c r="B108" s="88"/>
      <c r="C108" s="88"/>
      <c r="D108" s="88"/>
      <c r="E108" s="88"/>
      <c r="F108" s="10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>
      <c r="A109" s="111"/>
      <c r="B109" s="88"/>
      <c r="C109" s="88"/>
      <c r="D109" s="88"/>
      <c r="E109" s="88"/>
      <c r="F109" s="10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>
      <c r="A110" s="111"/>
      <c r="B110" s="88"/>
      <c r="C110" s="88"/>
      <c r="D110" s="88"/>
      <c r="E110" s="88"/>
      <c r="F110" s="10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>
      <c r="A111" s="111"/>
      <c r="B111" s="88"/>
      <c r="C111" s="88"/>
      <c r="D111" s="88"/>
      <c r="E111" s="88"/>
      <c r="F111" s="10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>
      <c r="A112" s="111"/>
      <c r="B112" s="88"/>
      <c r="C112" s="88"/>
      <c r="D112" s="88"/>
      <c r="E112" s="88"/>
      <c r="F112" s="10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>
      <c r="A113" s="111"/>
      <c r="B113" s="88"/>
      <c r="C113" s="88"/>
      <c r="D113" s="88"/>
      <c r="E113" s="88"/>
      <c r="F113" s="10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>
      <c r="A114" s="111"/>
      <c r="B114" s="88"/>
      <c r="C114" s="88"/>
      <c r="D114" s="88"/>
      <c r="E114" s="88"/>
      <c r="F114" s="10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>
      <c r="A115" s="111"/>
      <c r="B115" s="88"/>
      <c r="C115" s="88"/>
      <c r="D115" s="88"/>
      <c r="E115" s="88"/>
      <c r="F115" s="10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>
      <c r="A116" s="111"/>
      <c r="B116" s="88"/>
      <c r="C116" s="88"/>
      <c r="D116" s="88"/>
      <c r="E116" s="88"/>
      <c r="F116" s="10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>
      <c r="A117" s="111"/>
      <c r="B117" s="88"/>
      <c r="C117" s="88"/>
      <c r="D117" s="88"/>
      <c r="E117" s="88"/>
      <c r="F117" s="10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>
      <c r="A118" s="111"/>
      <c r="B118" s="88"/>
      <c r="C118" s="88"/>
      <c r="D118" s="88"/>
      <c r="E118" s="88"/>
      <c r="F118" s="10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>
      <c r="A119" s="111"/>
      <c r="B119" s="88"/>
      <c r="C119" s="88"/>
      <c r="D119" s="88"/>
      <c r="E119" s="88"/>
      <c r="F119" s="10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>
      <c r="A120" s="111"/>
      <c r="B120" s="88"/>
      <c r="C120" s="88"/>
      <c r="D120" s="88"/>
      <c r="E120" s="88"/>
      <c r="F120" s="10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>
      <c r="A121" s="111"/>
      <c r="B121" s="88"/>
      <c r="C121" s="88"/>
      <c r="D121" s="88"/>
      <c r="E121" s="88"/>
      <c r="F121" s="10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A122" s="111"/>
      <c r="B122" s="88"/>
      <c r="C122" s="88"/>
      <c r="D122" s="88"/>
      <c r="E122" s="88"/>
      <c r="F122" s="10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>
      <c r="A123" s="111"/>
      <c r="B123" s="88"/>
      <c r="C123" s="88"/>
      <c r="D123" s="88"/>
      <c r="E123" s="88"/>
      <c r="F123" s="10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>
      <c r="A124" s="111"/>
      <c r="B124" s="88"/>
      <c r="C124" s="88"/>
      <c r="D124" s="88"/>
      <c r="E124" s="88"/>
      <c r="F124" s="10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>
      <c r="A125" s="111"/>
      <c r="B125" s="88"/>
      <c r="C125" s="88"/>
      <c r="D125" s="88"/>
      <c r="E125" s="88"/>
      <c r="F125" s="10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>
      <c r="A126" s="111"/>
      <c r="B126" s="88"/>
      <c r="C126" s="88"/>
      <c r="D126" s="88"/>
      <c r="E126" s="88"/>
      <c r="F126" s="10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111"/>
      <c r="B127" s="88"/>
      <c r="C127" s="88"/>
      <c r="D127" s="88"/>
      <c r="E127" s="88"/>
      <c r="F127" s="10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111"/>
      <c r="B128" s="88"/>
      <c r="C128" s="88"/>
      <c r="D128" s="88"/>
      <c r="E128" s="88"/>
      <c r="F128" s="10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111"/>
      <c r="B129" s="88"/>
      <c r="C129" s="88"/>
      <c r="D129" s="88"/>
      <c r="E129" s="88"/>
      <c r="F129" s="10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111"/>
      <c r="B130" s="88"/>
      <c r="C130" s="88"/>
      <c r="D130" s="88"/>
      <c r="E130" s="88"/>
      <c r="F130" s="10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111"/>
      <c r="B131" s="88"/>
      <c r="C131" s="88"/>
      <c r="D131" s="88"/>
      <c r="E131" s="88"/>
      <c r="F131" s="10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111"/>
      <c r="B132" s="88"/>
      <c r="C132" s="88"/>
      <c r="D132" s="88"/>
      <c r="E132" s="88"/>
      <c r="F132" s="10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111"/>
      <c r="B133" s="88"/>
      <c r="C133" s="88"/>
      <c r="D133" s="88"/>
      <c r="E133" s="88"/>
      <c r="F133" s="10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111"/>
      <c r="B134" s="88"/>
      <c r="C134" s="88"/>
      <c r="D134" s="88"/>
      <c r="E134" s="88"/>
      <c r="F134" s="10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111"/>
      <c r="B135" s="88"/>
      <c r="C135" s="88"/>
      <c r="D135" s="88"/>
      <c r="E135" s="88"/>
      <c r="F135" s="10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111"/>
      <c r="B136" s="88"/>
      <c r="C136" s="88"/>
      <c r="D136" s="88"/>
      <c r="E136" s="88"/>
      <c r="F136" s="10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111"/>
      <c r="B137" s="88"/>
      <c r="C137" s="88"/>
      <c r="D137" s="88"/>
      <c r="E137" s="88"/>
      <c r="F137" s="10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111"/>
      <c r="B138" s="88"/>
      <c r="C138" s="88"/>
      <c r="D138" s="88"/>
      <c r="E138" s="88"/>
      <c r="F138" s="10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111"/>
      <c r="B139" s="88"/>
      <c r="C139" s="88"/>
      <c r="D139" s="88"/>
      <c r="E139" s="88"/>
      <c r="F139" s="10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111"/>
      <c r="B140" s="88"/>
      <c r="C140" s="88"/>
      <c r="D140" s="88"/>
      <c r="E140" s="88"/>
      <c r="F140" s="10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111"/>
      <c r="B141" s="88"/>
      <c r="C141" s="88"/>
      <c r="D141" s="88"/>
      <c r="E141" s="88"/>
      <c r="F141" s="10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111"/>
      <c r="B142" s="88"/>
      <c r="C142" s="88"/>
      <c r="D142" s="88"/>
      <c r="E142" s="88"/>
      <c r="F142" s="10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111"/>
      <c r="B143" s="88"/>
      <c r="C143" s="88"/>
      <c r="D143" s="88"/>
      <c r="E143" s="88"/>
      <c r="F143" s="10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111"/>
      <c r="B144" s="88"/>
      <c r="C144" s="88"/>
      <c r="D144" s="88"/>
      <c r="E144" s="88"/>
      <c r="F144" s="10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111"/>
      <c r="B145" s="88"/>
      <c r="C145" s="88"/>
      <c r="D145" s="88"/>
      <c r="E145" s="88"/>
      <c r="F145" s="10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111"/>
      <c r="B146" s="88"/>
      <c r="C146" s="88"/>
      <c r="D146" s="88"/>
      <c r="E146" s="88"/>
      <c r="F146" s="10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111"/>
      <c r="B147" s="88"/>
      <c r="C147" s="88"/>
      <c r="D147" s="88"/>
      <c r="E147" s="88"/>
      <c r="F147" s="10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111"/>
      <c r="B148" s="88"/>
      <c r="C148" s="88"/>
      <c r="D148" s="88"/>
      <c r="E148" s="88"/>
      <c r="F148" s="10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111"/>
      <c r="B149" s="88"/>
      <c r="C149" s="88"/>
      <c r="D149" s="88"/>
      <c r="E149" s="88"/>
      <c r="F149" s="10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111"/>
      <c r="B150" s="88"/>
      <c r="C150" s="88"/>
      <c r="D150" s="88"/>
      <c r="E150" s="88"/>
      <c r="F150" s="10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111"/>
      <c r="B151" s="88"/>
      <c r="C151" s="88"/>
      <c r="D151" s="88"/>
      <c r="E151" s="88"/>
      <c r="F151" s="10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111"/>
      <c r="B152" s="88"/>
      <c r="C152" s="88"/>
      <c r="D152" s="88"/>
      <c r="E152" s="88"/>
      <c r="F152" s="10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111"/>
      <c r="B153" s="88"/>
      <c r="C153" s="88"/>
      <c r="D153" s="88"/>
      <c r="E153" s="88"/>
      <c r="F153" s="10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111"/>
      <c r="B154" s="88"/>
      <c r="C154" s="88"/>
      <c r="D154" s="88"/>
      <c r="E154" s="88"/>
      <c r="F154" s="10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111"/>
      <c r="B155" s="88"/>
      <c r="C155" s="88"/>
      <c r="D155" s="88"/>
      <c r="E155" s="88"/>
      <c r="F155" s="10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111"/>
      <c r="B156" s="88"/>
      <c r="C156" s="88"/>
      <c r="D156" s="88"/>
      <c r="E156" s="88"/>
      <c r="F156" s="10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111"/>
      <c r="B157" s="88"/>
      <c r="C157" s="88"/>
      <c r="D157" s="88"/>
      <c r="E157" s="88"/>
      <c r="F157" s="10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111"/>
      <c r="B158" s="88"/>
      <c r="C158" s="88"/>
      <c r="D158" s="88"/>
      <c r="E158" s="88"/>
      <c r="F158" s="10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111"/>
      <c r="B159" s="88"/>
      <c r="C159" s="88"/>
      <c r="D159" s="88"/>
      <c r="E159" s="88"/>
      <c r="F159" s="10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111"/>
      <c r="B160" s="88"/>
      <c r="C160" s="88"/>
      <c r="D160" s="88"/>
      <c r="E160" s="88"/>
      <c r="F160" s="10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111"/>
      <c r="B161" s="88"/>
      <c r="C161" s="88"/>
      <c r="D161" s="88"/>
      <c r="E161" s="88"/>
      <c r="F161" s="10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111"/>
      <c r="B162" s="88"/>
      <c r="C162" s="88"/>
      <c r="D162" s="88"/>
      <c r="E162" s="88"/>
      <c r="F162" s="10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111"/>
      <c r="B163" s="88"/>
      <c r="C163" s="88"/>
      <c r="D163" s="88"/>
      <c r="E163" s="88"/>
      <c r="F163" s="10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>
      <c r="A164" s="111"/>
      <c r="B164" s="88"/>
      <c r="C164" s="88"/>
      <c r="D164" s="88"/>
      <c r="E164" s="88"/>
      <c r="F164" s="10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>
      <c r="A165" s="111"/>
      <c r="B165" s="88"/>
      <c r="C165" s="88"/>
      <c r="D165" s="88"/>
      <c r="E165" s="88"/>
      <c r="F165" s="10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>
      <c r="A166" s="111"/>
      <c r="B166" s="88"/>
      <c r="C166" s="88"/>
      <c r="D166" s="88"/>
      <c r="E166" s="88"/>
      <c r="F166" s="10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>
      <c r="A167" s="111"/>
      <c r="B167" s="88"/>
      <c r="C167" s="88"/>
      <c r="D167" s="88"/>
      <c r="E167" s="88"/>
      <c r="F167" s="10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>
      <c r="A168" s="111"/>
      <c r="B168" s="88"/>
      <c r="C168" s="88"/>
      <c r="D168" s="88"/>
      <c r="E168" s="88"/>
      <c r="F168" s="10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>
      <c r="A169" s="111"/>
      <c r="B169" s="88"/>
      <c r="C169" s="88"/>
      <c r="D169" s="88"/>
      <c r="E169" s="88"/>
      <c r="F169" s="10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>
      <c r="A170" s="111"/>
      <c r="B170" s="88"/>
      <c r="C170" s="88"/>
      <c r="D170" s="88"/>
      <c r="E170" s="88"/>
      <c r="F170" s="10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>
      <c r="A171" s="111"/>
      <c r="B171" s="88"/>
      <c r="C171" s="88"/>
      <c r="D171" s="88"/>
      <c r="E171" s="88"/>
      <c r="F171" s="10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>
      <c r="A172" s="111"/>
      <c r="B172" s="88"/>
      <c r="C172" s="88"/>
      <c r="D172" s="88"/>
      <c r="E172" s="88"/>
      <c r="F172" s="10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>
      <c r="A173" s="111"/>
      <c r="B173" s="88"/>
      <c r="C173" s="88"/>
      <c r="D173" s="88"/>
      <c r="E173" s="88"/>
      <c r="F173" s="10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>
      <c r="A174" s="111"/>
      <c r="B174" s="88"/>
      <c r="C174" s="88"/>
      <c r="D174" s="88"/>
      <c r="E174" s="88"/>
      <c r="F174" s="10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>
      <c r="A175" s="111"/>
      <c r="B175" s="88"/>
      <c r="C175" s="88"/>
      <c r="D175" s="88"/>
      <c r="E175" s="88"/>
      <c r="F175" s="10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>
      <c r="A176" s="111"/>
      <c r="B176" s="88"/>
      <c r="C176" s="88"/>
      <c r="D176" s="88"/>
      <c r="E176" s="88"/>
      <c r="F176" s="10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>
      <c r="A177" s="111"/>
      <c r="B177" s="88"/>
      <c r="C177" s="88"/>
      <c r="D177" s="88"/>
      <c r="E177" s="88"/>
      <c r="F177" s="10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>
      <c r="A178" s="111"/>
      <c r="B178" s="88"/>
      <c r="C178" s="88"/>
      <c r="D178" s="88"/>
      <c r="E178" s="88"/>
      <c r="F178" s="10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>
      <c r="A179" s="111"/>
      <c r="B179" s="88"/>
      <c r="C179" s="88"/>
      <c r="D179" s="88"/>
      <c r="E179" s="88"/>
      <c r="F179" s="10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>
      <c r="A180" s="111"/>
      <c r="B180" s="88"/>
      <c r="C180" s="88"/>
      <c r="D180" s="88"/>
      <c r="E180" s="88"/>
      <c r="F180" s="10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>
      <c r="A181" s="111"/>
      <c r="B181" s="88"/>
      <c r="C181" s="88"/>
      <c r="D181" s="88"/>
      <c r="E181" s="88"/>
      <c r="F181" s="10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>
      <c r="A182" s="111"/>
      <c r="B182" s="88"/>
      <c r="C182" s="88"/>
      <c r="D182" s="88"/>
      <c r="E182" s="88"/>
      <c r="F182" s="10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>
      <c r="A183" s="111"/>
      <c r="B183" s="88"/>
      <c r="C183" s="88"/>
      <c r="D183" s="88"/>
      <c r="E183" s="88"/>
      <c r="F183" s="10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>
      <c r="A184" s="111"/>
      <c r="B184" s="88"/>
      <c r="C184" s="88"/>
      <c r="D184" s="88"/>
      <c r="E184" s="88"/>
      <c r="F184" s="10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>
      <c r="A185" s="111"/>
      <c r="B185" s="88"/>
      <c r="C185" s="88"/>
      <c r="D185" s="88"/>
      <c r="E185" s="88"/>
      <c r="F185" s="10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>
      <c r="A186" s="111"/>
      <c r="B186" s="88"/>
      <c r="C186" s="88"/>
      <c r="D186" s="88"/>
      <c r="E186" s="88"/>
      <c r="F186" s="10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>
      <c r="A187" s="111"/>
      <c r="B187" s="88"/>
      <c r="C187" s="88"/>
      <c r="D187" s="88"/>
      <c r="E187" s="88"/>
      <c r="F187" s="10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>
      <c r="A188" s="111"/>
      <c r="B188" s="88"/>
      <c r="C188" s="88"/>
      <c r="D188" s="88"/>
      <c r="E188" s="88"/>
      <c r="F188" s="10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>
      <c r="A189" s="111"/>
      <c r="B189" s="88"/>
      <c r="C189" s="88"/>
      <c r="D189" s="88"/>
      <c r="E189" s="88"/>
      <c r="F189" s="10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>
      <c r="A190" s="111"/>
      <c r="B190" s="88"/>
      <c r="C190" s="88"/>
      <c r="D190" s="88"/>
      <c r="E190" s="88"/>
      <c r="F190" s="10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>
      <c r="A191" s="111"/>
      <c r="B191" s="88"/>
      <c r="C191" s="88"/>
      <c r="D191" s="88"/>
      <c r="E191" s="88"/>
      <c r="F191" s="10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>
      <c r="A192" s="111"/>
      <c r="B192" s="88"/>
      <c r="C192" s="88"/>
      <c r="D192" s="88"/>
      <c r="E192" s="88"/>
      <c r="F192" s="10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>
      <c r="A193" s="111"/>
      <c r="B193" s="88"/>
      <c r="C193" s="88"/>
      <c r="D193" s="88"/>
      <c r="E193" s="88"/>
      <c r="F193" s="10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>
      <c r="A194" s="111"/>
      <c r="B194" s="88"/>
      <c r="C194" s="88"/>
      <c r="D194" s="88"/>
      <c r="E194" s="88"/>
      <c r="F194" s="10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>
      <c r="A195" s="111"/>
      <c r="B195" s="88"/>
      <c r="C195" s="88"/>
      <c r="D195" s="88"/>
      <c r="E195" s="88"/>
      <c r="F195" s="10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>
      <c r="A196" s="111"/>
      <c r="B196" s="88"/>
      <c r="C196" s="88"/>
      <c r="D196" s="88"/>
      <c r="E196" s="88"/>
      <c r="F196" s="10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>
      <c r="A197" s="111"/>
      <c r="B197" s="88"/>
      <c r="C197" s="88"/>
      <c r="D197" s="88"/>
      <c r="E197" s="88"/>
      <c r="F197" s="10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>
      <c r="A198" s="111"/>
      <c r="B198" s="88"/>
      <c r="C198" s="88"/>
      <c r="D198" s="88"/>
      <c r="E198" s="88"/>
      <c r="F198" s="10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>
      <c r="A199" s="111"/>
      <c r="B199" s="88"/>
      <c r="C199" s="88"/>
      <c r="D199" s="88"/>
      <c r="E199" s="88"/>
      <c r="F199" s="10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>
      <c r="A200" s="111"/>
      <c r="B200" s="88"/>
      <c r="C200" s="88"/>
      <c r="D200" s="88"/>
      <c r="E200" s="88"/>
      <c r="F200" s="10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>
      <c r="A201" s="111"/>
      <c r="B201" s="88"/>
      <c r="C201" s="88"/>
      <c r="D201" s="88"/>
      <c r="E201" s="88"/>
      <c r="F201" s="10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>
      <c r="A202" s="111"/>
      <c r="B202" s="88"/>
      <c r="C202" s="88"/>
      <c r="D202" s="88"/>
      <c r="E202" s="88"/>
      <c r="F202" s="10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>
      <c r="A203" s="111"/>
      <c r="B203" s="88"/>
      <c r="C203" s="88"/>
      <c r="D203" s="88"/>
      <c r="E203" s="88"/>
      <c r="F203" s="10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>
      <c r="A204" s="111"/>
      <c r="B204" s="88"/>
      <c r="C204" s="88"/>
      <c r="D204" s="88"/>
      <c r="E204" s="88"/>
      <c r="F204" s="10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>
      <c r="A205" s="111"/>
      <c r="B205" s="88"/>
      <c r="C205" s="88"/>
      <c r="D205" s="88"/>
      <c r="E205" s="88"/>
      <c r="F205" s="10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>
      <c r="A206" s="111"/>
      <c r="B206" s="88"/>
      <c r="C206" s="88"/>
      <c r="D206" s="88"/>
      <c r="E206" s="88"/>
      <c r="F206" s="10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>
      <c r="A207" s="111"/>
      <c r="B207" s="88"/>
      <c r="C207" s="88"/>
      <c r="D207" s="88"/>
      <c r="E207" s="88"/>
      <c r="F207" s="10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>
      <c r="A208" s="111"/>
      <c r="B208" s="88"/>
      <c r="C208" s="88"/>
      <c r="D208" s="88"/>
      <c r="E208" s="88"/>
      <c r="F208" s="10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>
      <c r="A209" s="111"/>
      <c r="B209" s="88"/>
      <c r="C209" s="88"/>
      <c r="D209" s="88"/>
      <c r="E209" s="88"/>
      <c r="F209" s="10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>
      <c r="A210" s="111"/>
      <c r="B210" s="88"/>
      <c r="C210" s="88"/>
      <c r="D210" s="88"/>
      <c r="E210" s="88"/>
      <c r="F210" s="10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>
      <c r="A211" s="111"/>
      <c r="B211" s="88"/>
      <c r="C211" s="88"/>
      <c r="D211" s="88"/>
      <c r="E211" s="88"/>
      <c r="F211" s="10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>
      <c r="A212" s="111"/>
      <c r="B212" s="88"/>
      <c r="C212" s="88"/>
      <c r="D212" s="88"/>
      <c r="E212" s="88"/>
      <c r="F212" s="10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>
      <c r="A213" s="111"/>
      <c r="B213" s="88"/>
      <c r="C213" s="88"/>
      <c r="D213" s="88"/>
      <c r="E213" s="88"/>
      <c r="F213" s="10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>
      <c r="A214" s="111"/>
      <c r="B214" s="88"/>
      <c r="C214" s="88"/>
      <c r="D214" s="88"/>
      <c r="E214" s="88"/>
      <c r="F214" s="10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>
      <c r="A215" s="111"/>
      <c r="B215" s="88"/>
      <c r="C215" s="88"/>
      <c r="D215" s="88"/>
      <c r="E215" s="88"/>
      <c r="F215" s="10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>
      <c r="A216" s="111"/>
      <c r="B216" s="88"/>
      <c r="C216" s="88"/>
      <c r="D216" s="88"/>
      <c r="E216" s="88"/>
      <c r="F216" s="10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>
      <c r="A217" s="111"/>
      <c r="B217" s="88"/>
      <c r="C217" s="88"/>
      <c r="D217" s="88"/>
      <c r="E217" s="88"/>
      <c r="F217" s="10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>
      <c r="A218" s="111"/>
      <c r="B218" s="88"/>
      <c r="C218" s="88"/>
      <c r="D218" s="88"/>
      <c r="E218" s="88"/>
      <c r="F218" s="10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>
      <c r="A219" s="111"/>
      <c r="B219" s="88"/>
      <c r="C219" s="88"/>
      <c r="D219" s="88"/>
      <c r="E219" s="88"/>
      <c r="F219" s="10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>
      <c r="A220" s="111"/>
      <c r="B220" s="88"/>
      <c r="C220" s="88"/>
      <c r="D220" s="88"/>
      <c r="E220" s="88"/>
      <c r="F220" s="10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>
      <c r="A221" s="111"/>
      <c r="B221" s="88"/>
      <c r="C221" s="88"/>
      <c r="D221" s="88"/>
      <c r="E221" s="88"/>
      <c r="F221" s="10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>
      <c r="A222" s="111"/>
      <c r="B222" s="88"/>
      <c r="C222" s="88"/>
      <c r="D222" s="88"/>
      <c r="E222" s="88"/>
      <c r="F222" s="10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>
      <c r="A223" s="111"/>
      <c r="B223" s="88"/>
      <c r="C223" s="88"/>
      <c r="D223" s="88"/>
      <c r="E223" s="88"/>
      <c r="F223" s="10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>
      <c r="A224" s="111"/>
      <c r="B224" s="88"/>
      <c r="C224" s="88"/>
      <c r="D224" s="88"/>
      <c r="E224" s="88"/>
      <c r="F224" s="10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>
      <c r="A225" s="111"/>
      <c r="B225" s="88"/>
      <c r="C225" s="88"/>
      <c r="D225" s="88"/>
      <c r="E225" s="88"/>
      <c r="F225" s="10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>
      <c r="A226" s="111"/>
      <c r="B226" s="88"/>
      <c r="C226" s="88"/>
      <c r="D226" s="88"/>
      <c r="E226" s="88"/>
      <c r="F226" s="10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>
      <c r="A227" s="111"/>
      <c r="B227" s="88"/>
      <c r="C227" s="88"/>
      <c r="D227" s="88"/>
      <c r="E227" s="88"/>
      <c r="F227" s="10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>
      <c r="A228" s="111"/>
      <c r="B228" s="88"/>
      <c r="C228" s="88"/>
      <c r="D228" s="88"/>
      <c r="E228" s="88"/>
      <c r="F228" s="10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>
      <c r="A229" s="111"/>
      <c r="B229" s="88"/>
      <c r="C229" s="88"/>
      <c r="D229" s="88"/>
      <c r="E229" s="88"/>
      <c r="F229" s="10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>
      <c r="A230" s="111"/>
      <c r="B230" s="88"/>
      <c r="C230" s="88"/>
      <c r="D230" s="88"/>
      <c r="E230" s="88"/>
      <c r="F230" s="10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>
      <c r="A231" s="111"/>
      <c r="B231" s="88"/>
      <c r="C231" s="88"/>
      <c r="D231" s="88"/>
      <c r="E231" s="88"/>
      <c r="F231" s="10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>
      <c r="A232" s="111"/>
      <c r="B232" s="88"/>
      <c r="C232" s="88"/>
      <c r="D232" s="88"/>
      <c r="E232" s="88"/>
      <c r="F232" s="10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>
      <c r="A233" s="111"/>
      <c r="B233" s="88"/>
      <c r="C233" s="88"/>
      <c r="D233" s="88"/>
      <c r="E233" s="88"/>
      <c r="F233" s="10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>
      <c r="A234" s="111"/>
      <c r="B234" s="88"/>
      <c r="C234" s="88"/>
      <c r="D234" s="88"/>
      <c r="E234" s="88"/>
      <c r="F234" s="10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>
      <c r="A235" s="111"/>
      <c r="B235" s="88"/>
      <c r="C235" s="88"/>
      <c r="D235" s="88"/>
      <c r="E235" s="88"/>
      <c r="F235" s="10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>
      <c r="A236" s="111"/>
      <c r="B236" s="88"/>
      <c r="C236" s="88"/>
      <c r="D236" s="88"/>
      <c r="E236" s="88"/>
      <c r="F236" s="10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>
      <c r="A237" s="111"/>
      <c r="B237" s="88"/>
      <c r="C237" s="88"/>
      <c r="D237" s="88"/>
      <c r="E237" s="88"/>
      <c r="F237" s="10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>
      <c r="A238" s="111"/>
      <c r="B238" s="88"/>
      <c r="C238" s="88"/>
      <c r="D238" s="88"/>
      <c r="E238" s="88"/>
      <c r="F238" s="10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>
      <c r="A239" s="111"/>
      <c r="B239" s="88"/>
      <c r="C239" s="88"/>
      <c r="D239" s="88"/>
      <c r="E239" s="88"/>
      <c r="F239" s="10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>
      <c r="A240" s="111"/>
      <c r="B240" s="88"/>
      <c r="C240" s="88"/>
      <c r="D240" s="88"/>
      <c r="E240" s="88"/>
      <c r="F240" s="10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>
      <c r="A241" s="111"/>
      <c r="B241" s="88"/>
      <c r="C241" s="88"/>
      <c r="D241" s="88"/>
      <c r="E241" s="88"/>
      <c r="F241" s="10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>
      <c r="A242" s="111"/>
      <c r="B242" s="88"/>
      <c r="C242" s="88"/>
      <c r="D242" s="88"/>
      <c r="E242" s="88"/>
      <c r="F242" s="10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>
      <c r="A243" s="111"/>
      <c r="B243" s="88"/>
      <c r="C243" s="88"/>
      <c r="D243" s="88"/>
      <c r="E243" s="88"/>
      <c r="F243" s="10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>
      <c r="A244" s="111"/>
      <c r="B244" s="88"/>
      <c r="C244" s="88"/>
      <c r="D244" s="88"/>
      <c r="E244" s="88"/>
      <c r="F244" s="10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>
      <c r="A245" s="111"/>
      <c r="B245" s="88"/>
      <c r="C245" s="88"/>
      <c r="D245" s="88"/>
      <c r="E245" s="88"/>
      <c r="F245" s="10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>
      <c r="A246" s="111"/>
      <c r="B246" s="88"/>
      <c r="C246" s="88"/>
      <c r="D246" s="88"/>
      <c r="E246" s="88"/>
      <c r="F246" s="10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>
      <c r="A247" s="111"/>
      <c r="B247" s="88"/>
      <c r="C247" s="88"/>
      <c r="D247" s="88"/>
      <c r="E247" s="88"/>
      <c r="F247" s="10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>
      <c r="A248" s="111"/>
      <c r="B248" s="88"/>
      <c r="C248" s="88"/>
      <c r="D248" s="88"/>
      <c r="E248" s="88"/>
      <c r="F248" s="10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>
      <c r="A249" s="111"/>
      <c r="B249" s="88"/>
      <c r="C249" s="88"/>
      <c r="D249" s="88"/>
      <c r="E249" s="88"/>
      <c r="F249" s="10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>
      <c r="A250" s="111"/>
      <c r="B250" s="88"/>
      <c r="C250" s="88"/>
      <c r="D250" s="88"/>
      <c r="E250" s="88"/>
      <c r="F250" s="10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>
      <c r="A251" s="111"/>
      <c r="B251" s="88"/>
      <c r="C251" s="88"/>
      <c r="D251" s="88"/>
      <c r="E251" s="88"/>
      <c r="F251" s="10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>
      <c r="A252" s="111"/>
      <c r="B252" s="88"/>
      <c r="C252" s="88"/>
      <c r="D252" s="88"/>
      <c r="E252" s="88"/>
      <c r="F252" s="10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>
      <c r="A253" s="111"/>
      <c r="B253" s="88"/>
      <c r="C253" s="88"/>
      <c r="D253" s="88"/>
      <c r="E253" s="88"/>
      <c r="F253" s="10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>
      <c r="A254" s="111"/>
      <c r="B254" s="88"/>
      <c r="C254" s="88"/>
      <c r="D254" s="88"/>
      <c r="E254" s="88"/>
      <c r="F254" s="10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>
      <c r="A255" s="111"/>
      <c r="B255" s="88"/>
      <c r="C255" s="88"/>
      <c r="D255" s="88"/>
      <c r="E255" s="88"/>
      <c r="F255" s="10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>
      <c r="A256" s="111"/>
      <c r="B256" s="88"/>
      <c r="C256" s="88"/>
      <c r="D256" s="88"/>
      <c r="E256" s="88"/>
      <c r="F256" s="10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>
      <c r="A257" s="111"/>
      <c r="B257" s="88"/>
      <c r="C257" s="88"/>
      <c r="D257" s="88"/>
      <c r="E257" s="88"/>
      <c r="F257" s="10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>
      <c r="A258" s="111"/>
      <c r="B258" s="88"/>
      <c r="C258" s="88"/>
      <c r="D258" s="88"/>
      <c r="E258" s="88"/>
      <c r="F258" s="10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>
      <c r="A259" s="111"/>
      <c r="B259" s="88"/>
      <c r="C259" s="88"/>
      <c r="D259" s="88"/>
      <c r="E259" s="88"/>
      <c r="F259" s="10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>
      <c r="A260" s="111"/>
      <c r="B260" s="88"/>
      <c r="C260" s="88"/>
      <c r="D260" s="88"/>
      <c r="E260" s="88"/>
      <c r="F260" s="10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>
      <c r="A261" s="111"/>
      <c r="B261" s="88"/>
      <c r="C261" s="88"/>
      <c r="D261" s="88"/>
      <c r="E261" s="88"/>
      <c r="F261" s="10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>
      <c r="A262" s="111"/>
      <c r="B262" s="88"/>
      <c r="C262" s="88"/>
      <c r="D262" s="88"/>
      <c r="E262" s="88"/>
      <c r="F262" s="10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>
      <c r="A263" s="111"/>
      <c r="B263" s="88"/>
      <c r="C263" s="88"/>
      <c r="D263" s="88"/>
      <c r="E263" s="88"/>
      <c r="F263" s="10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>
      <c r="A264" s="111"/>
      <c r="B264" s="88"/>
      <c r="C264" s="88"/>
      <c r="D264" s="88"/>
      <c r="E264" s="88"/>
      <c r="F264" s="10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>
      <c r="A265" s="111"/>
      <c r="B265" s="88"/>
      <c r="C265" s="88"/>
      <c r="D265" s="88"/>
      <c r="E265" s="88"/>
      <c r="F265" s="10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>
      <c r="A266" s="111"/>
      <c r="B266" s="88"/>
      <c r="C266" s="88"/>
      <c r="D266" s="88"/>
      <c r="E266" s="88"/>
      <c r="F266" s="10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>
      <c r="A267" s="111"/>
      <c r="B267" s="88"/>
      <c r="C267" s="88"/>
      <c r="D267" s="88"/>
      <c r="E267" s="88"/>
      <c r="F267" s="10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>
      <c r="A268" s="111"/>
      <c r="B268" s="88"/>
      <c r="C268" s="88"/>
      <c r="D268" s="88"/>
      <c r="E268" s="88"/>
      <c r="F268" s="10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>
      <c r="A269" s="111"/>
      <c r="B269" s="88"/>
      <c r="C269" s="88"/>
      <c r="D269" s="88"/>
      <c r="E269" s="88"/>
      <c r="F269" s="10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>
      <c r="A270" s="111"/>
      <c r="B270" s="88"/>
      <c r="C270" s="88"/>
      <c r="D270" s="88"/>
      <c r="E270" s="88"/>
      <c r="F270" s="10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>
      <c r="A271" s="111"/>
      <c r="B271" s="88"/>
      <c r="C271" s="88"/>
      <c r="D271" s="88"/>
      <c r="E271" s="88"/>
      <c r="F271" s="10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>
      <c r="A272" s="111"/>
      <c r="B272" s="88"/>
      <c r="C272" s="88"/>
      <c r="D272" s="88"/>
      <c r="E272" s="88"/>
      <c r="F272" s="10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>
      <c r="A273" s="111"/>
      <c r="B273" s="88"/>
      <c r="C273" s="88"/>
      <c r="D273" s="88"/>
      <c r="E273" s="88"/>
      <c r="F273" s="10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>
      <c r="A274" s="111"/>
      <c r="B274" s="88"/>
      <c r="C274" s="88"/>
      <c r="D274" s="88"/>
      <c r="E274" s="88"/>
      <c r="F274" s="10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>
      <c r="A275" s="111"/>
      <c r="B275" s="88"/>
      <c r="C275" s="88"/>
      <c r="D275" s="88"/>
      <c r="E275" s="88"/>
      <c r="F275" s="10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>
      <c r="A276" s="111"/>
      <c r="B276" s="88"/>
      <c r="C276" s="88"/>
      <c r="D276" s="88"/>
      <c r="E276" s="88"/>
      <c r="F276" s="10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>
      <c r="A277" s="111"/>
      <c r="B277" s="88"/>
      <c r="C277" s="88"/>
      <c r="D277" s="88"/>
      <c r="E277" s="88"/>
      <c r="F277" s="10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>
      <c r="A278" s="111"/>
      <c r="B278" s="88"/>
      <c r="C278" s="88"/>
      <c r="D278" s="88"/>
      <c r="E278" s="88"/>
      <c r="F278" s="10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>
      <c r="A279" s="111"/>
      <c r="B279" s="88"/>
      <c r="C279" s="88"/>
      <c r="D279" s="88"/>
      <c r="E279" s="88"/>
      <c r="F279" s="10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>
      <c r="A280" s="111"/>
      <c r="B280" s="88"/>
      <c r="C280" s="88"/>
      <c r="D280" s="88"/>
      <c r="E280" s="88"/>
      <c r="F280" s="10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>
      <c r="A281" s="111"/>
      <c r="B281" s="88"/>
      <c r="C281" s="88"/>
      <c r="D281" s="88"/>
      <c r="E281" s="88"/>
      <c r="F281" s="10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>
      <c r="A282" s="111"/>
      <c r="B282" s="88"/>
      <c r="C282" s="88"/>
      <c r="D282" s="88"/>
      <c r="E282" s="88"/>
      <c r="F282" s="10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>
      <c r="A283" s="111"/>
      <c r="B283" s="88"/>
      <c r="C283" s="88"/>
      <c r="D283" s="88"/>
      <c r="E283" s="88"/>
      <c r="F283" s="10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>
      <c r="A284" s="111"/>
      <c r="B284" s="88"/>
      <c r="C284" s="88"/>
      <c r="D284" s="88"/>
      <c r="E284" s="88"/>
      <c r="F284" s="10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>
      <c r="A285" s="111"/>
      <c r="B285" s="88"/>
      <c r="C285" s="88"/>
      <c r="D285" s="88"/>
      <c r="E285" s="88"/>
      <c r="F285" s="10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>
      <c r="A286" s="111"/>
      <c r="B286" s="88"/>
      <c r="C286" s="88"/>
      <c r="D286" s="88"/>
      <c r="E286" s="88"/>
      <c r="F286" s="10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>
      <c r="A287" s="111"/>
      <c r="B287" s="88"/>
      <c r="C287" s="88"/>
      <c r="D287" s="88"/>
      <c r="E287" s="88"/>
      <c r="F287" s="10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>
      <c r="A288" s="111"/>
      <c r="B288" s="88"/>
      <c r="C288" s="88"/>
      <c r="D288" s="88"/>
      <c r="E288" s="88"/>
      <c r="F288" s="10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>
      <c r="A289" s="111"/>
      <c r="B289" s="88"/>
      <c r="C289" s="88"/>
      <c r="D289" s="88"/>
      <c r="E289" s="88"/>
      <c r="F289" s="10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>
      <c r="A290" s="111"/>
      <c r="B290" s="88"/>
      <c r="C290" s="88"/>
      <c r="D290" s="88"/>
      <c r="E290" s="88"/>
      <c r="F290" s="10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>
      <c r="A291" s="111"/>
      <c r="B291" s="88"/>
      <c r="C291" s="88"/>
      <c r="D291" s="88"/>
      <c r="E291" s="88"/>
      <c r="F291" s="10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>
      <c r="A292" s="111"/>
      <c r="B292" s="88"/>
      <c r="C292" s="88"/>
      <c r="D292" s="88"/>
      <c r="E292" s="88"/>
      <c r="F292" s="10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>
      <c r="A293" s="111"/>
      <c r="B293" s="88"/>
      <c r="C293" s="88"/>
      <c r="D293" s="88"/>
      <c r="E293" s="88"/>
      <c r="F293" s="10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>
      <c r="A294" s="111"/>
      <c r="B294" s="88"/>
      <c r="C294" s="88"/>
      <c r="D294" s="88"/>
      <c r="E294" s="88"/>
      <c r="F294" s="10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>
      <c r="A295" s="111"/>
      <c r="B295" s="88"/>
      <c r="C295" s="88"/>
      <c r="D295" s="88"/>
      <c r="E295" s="88"/>
      <c r="F295" s="10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>
      <c r="A296" s="111"/>
      <c r="B296" s="88"/>
      <c r="C296" s="88"/>
      <c r="D296" s="88"/>
      <c r="E296" s="88"/>
      <c r="F296" s="10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>
      <c r="A297" s="111"/>
      <c r="B297" s="88"/>
      <c r="C297" s="88"/>
      <c r="D297" s="88"/>
      <c r="E297" s="88"/>
      <c r="F297" s="10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>
      <c r="A298" s="111"/>
      <c r="B298" s="88"/>
      <c r="C298" s="88"/>
      <c r="D298" s="88"/>
      <c r="E298" s="88"/>
      <c r="F298" s="10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>
      <c r="A299" s="111"/>
      <c r="B299" s="88"/>
      <c r="C299" s="88"/>
      <c r="D299" s="88"/>
      <c r="E299" s="88"/>
      <c r="F299" s="10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>
      <c r="A300" s="111"/>
      <c r="B300" s="88"/>
      <c r="C300" s="88"/>
      <c r="D300" s="88"/>
      <c r="E300" s="88"/>
      <c r="F300" s="10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>
      <c r="A301" s="111"/>
      <c r="B301" s="88"/>
      <c r="C301" s="88"/>
      <c r="D301" s="88"/>
      <c r="E301" s="88"/>
      <c r="F301" s="10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>
      <c r="A302" s="111"/>
      <c r="B302" s="88"/>
      <c r="C302" s="88"/>
      <c r="D302" s="88"/>
      <c r="E302" s="88"/>
      <c r="F302" s="10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>
      <c r="A303" s="111"/>
      <c r="B303" s="88"/>
      <c r="C303" s="88"/>
      <c r="D303" s="88"/>
      <c r="E303" s="88"/>
      <c r="F303" s="10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>
      <c r="A304" s="111"/>
      <c r="B304" s="88"/>
      <c r="C304" s="88"/>
      <c r="D304" s="88"/>
      <c r="E304" s="88"/>
      <c r="F304" s="10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>
      <c r="A305" s="111"/>
      <c r="B305" s="88"/>
      <c r="C305" s="88"/>
      <c r="D305" s="88"/>
      <c r="E305" s="88"/>
      <c r="F305" s="10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>
      <c r="A306" s="111"/>
      <c r="B306" s="88"/>
      <c r="C306" s="88"/>
      <c r="D306" s="88"/>
      <c r="E306" s="88"/>
      <c r="F306" s="10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>
      <c r="A307" s="111"/>
      <c r="B307" s="88"/>
      <c r="C307" s="88"/>
      <c r="D307" s="88"/>
      <c r="E307" s="88"/>
      <c r="F307" s="10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>
      <c r="A308" s="111"/>
      <c r="B308" s="88"/>
      <c r="C308" s="88"/>
      <c r="D308" s="88"/>
      <c r="E308" s="88"/>
      <c r="F308" s="10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>
      <c r="A309" s="111"/>
      <c r="B309" s="88"/>
      <c r="C309" s="88"/>
      <c r="D309" s="88"/>
      <c r="E309" s="88"/>
      <c r="F309" s="10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>
      <c r="A310" s="111"/>
      <c r="B310" s="88"/>
      <c r="C310" s="88"/>
      <c r="D310" s="88"/>
      <c r="E310" s="88"/>
      <c r="F310" s="10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>
      <c r="A311" s="111"/>
      <c r="B311" s="88"/>
      <c r="C311" s="88"/>
      <c r="D311" s="88"/>
      <c r="E311" s="88"/>
      <c r="F311" s="10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>
      <c r="A312" s="111"/>
      <c r="B312" s="88"/>
      <c r="C312" s="88"/>
      <c r="D312" s="88"/>
      <c r="E312" s="88"/>
      <c r="F312" s="10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>
      <c r="A313" s="111"/>
      <c r="B313" s="88"/>
      <c r="C313" s="88"/>
      <c r="D313" s="88"/>
      <c r="E313" s="88"/>
      <c r="F313" s="10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>
      <c r="A314" s="111"/>
      <c r="B314" s="88"/>
      <c r="C314" s="88"/>
      <c r="D314" s="88"/>
      <c r="E314" s="88"/>
      <c r="F314" s="10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>
      <c r="A315" s="111"/>
      <c r="B315" s="88"/>
      <c r="C315" s="88"/>
      <c r="D315" s="88"/>
      <c r="E315" s="88"/>
      <c r="F315" s="10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>
      <c r="A316" s="111"/>
      <c r="B316" s="88"/>
      <c r="C316" s="88"/>
      <c r="D316" s="88"/>
      <c r="E316" s="88"/>
      <c r="F316" s="10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>
      <c r="A317" s="111"/>
      <c r="B317" s="88"/>
      <c r="C317" s="88"/>
      <c r="D317" s="88"/>
      <c r="E317" s="88"/>
      <c r="F317" s="10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>
      <c r="A318" s="111"/>
      <c r="B318" s="88"/>
      <c r="C318" s="88"/>
      <c r="D318" s="88"/>
      <c r="E318" s="88"/>
      <c r="F318" s="10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>
      <c r="A319" s="111"/>
      <c r="B319" s="88"/>
      <c r="C319" s="88"/>
      <c r="D319" s="88"/>
      <c r="E319" s="88"/>
      <c r="F319" s="10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>
      <c r="A320" s="111"/>
      <c r="B320" s="88"/>
      <c r="C320" s="88"/>
      <c r="D320" s="88"/>
      <c r="E320" s="88"/>
      <c r="F320" s="10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>
      <c r="A321" s="111"/>
      <c r="B321" s="88"/>
      <c r="C321" s="88"/>
      <c r="D321" s="88"/>
      <c r="E321" s="88"/>
      <c r="F321" s="10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>
      <c r="A322" s="111"/>
      <c r="B322" s="88"/>
      <c r="C322" s="88"/>
      <c r="D322" s="88"/>
      <c r="E322" s="88"/>
      <c r="F322" s="10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>
      <c r="A323" s="111"/>
      <c r="B323" s="88"/>
      <c r="C323" s="88"/>
      <c r="D323" s="88"/>
      <c r="E323" s="88"/>
      <c r="F323" s="10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>
      <c r="A324" s="111"/>
      <c r="B324" s="88"/>
      <c r="C324" s="88"/>
      <c r="D324" s="88"/>
      <c r="E324" s="88"/>
      <c r="F324" s="10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>
      <c r="A325" s="111"/>
      <c r="B325" s="88"/>
      <c r="C325" s="88"/>
      <c r="D325" s="88"/>
      <c r="E325" s="88"/>
      <c r="F325" s="10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>
      <c r="A326" s="111"/>
      <c r="B326" s="88"/>
      <c r="C326" s="88"/>
      <c r="D326" s="88"/>
      <c r="E326" s="88"/>
      <c r="F326" s="10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>
      <c r="A327" s="111"/>
      <c r="B327" s="88"/>
      <c r="C327" s="88"/>
      <c r="D327" s="88"/>
      <c r="E327" s="88"/>
      <c r="F327" s="10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>
      <c r="A328" s="111"/>
      <c r="B328" s="88"/>
      <c r="C328" s="88"/>
      <c r="D328" s="88"/>
      <c r="E328" s="88"/>
      <c r="F328" s="10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>
      <c r="A329" s="111"/>
      <c r="B329" s="88"/>
      <c r="C329" s="88"/>
      <c r="D329" s="88"/>
      <c r="E329" s="88"/>
      <c r="F329" s="10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>
      <c r="A330" s="111"/>
      <c r="B330" s="88"/>
      <c r="C330" s="88"/>
      <c r="D330" s="88"/>
      <c r="E330" s="88"/>
      <c r="F330" s="10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>
      <c r="A331" s="111"/>
      <c r="B331" s="88"/>
      <c r="C331" s="88"/>
      <c r="D331" s="88"/>
      <c r="E331" s="88"/>
      <c r="F331" s="10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>
      <c r="A332" s="111"/>
      <c r="B332" s="88"/>
      <c r="C332" s="88"/>
      <c r="D332" s="88"/>
      <c r="E332" s="88"/>
      <c r="F332" s="10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>
      <c r="A333" s="111"/>
      <c r="B333" s="88"/>
      <c r="C333" s="88"/>
      <c r="D333" s="88"/>
      <c r="E333" s="88"/>
      <c r="F333" s="10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>
      <c r="A334" s="111"/>
      <c r="B334" s="88"/>
      <c r="C334" s="88"/>
      <c r="D334" s="88"/>
      <c r="E334" s="88"/>
      <c r="F334" s="10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>
      <c r="A335" s="111"/>
      <c r="B335" s="88"/>
      <c r="C335" s="88"/>
      <c r="D335" s="88"/>
      <c r="E335" s="88"/>
      <c r="F335" s="10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>
      <c r="A336" s="111"/>
      <c r="B336" s="88"/>
      <c r="C336" s="88"/>
      <c r="D336" s="88"/>
      <c r="E336" s="88"/>
      <c r="F336" s="10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>
      <c r="A337" s="111"/>
      <c r="B337" s="88"/>
      <c r="C337" s="88"/>
      <c r="D337" s="88"/>
      <c r="E337" s="88"/>
      <c r="F337" s="10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>
      <c r="A338" s="111"/>
      <c r="B338" s="88"/>
      <c r="C338" s="88"/>
      <c r="D338" s="88"/>
      <c r="E338" s="88"/>
      <c r="F338" s="10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>
      <c r="A339" s="111"/>
      <c r="B339" s="88"/>
      <c r="C339" s="88"/>
      <c r="D339" s="88"/>
      <c r="E339" s="88"/>
      <c r="F339" s="10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>
      <c r="A340" s="111"/>
      <c r="B340" s="88"/>
      <c r="C340" s="88"/>
      <c r="D340" s="88"/>
      <c r="E340" s="88"/>
      <c r="F340" s="10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>
      <c r="A341" s="111"/>
      <c r="B341" s="88"/>
      <c r="C341" s="88"/>
      <c r="D341" s="88"/>
      <c r="E341" s="88"/>
      <c r="F341" s="10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>
      <c r="A342" s="111"/>
      <c r="B342" s="88"/>
      <c r="C342" s="88"/>
      <c r="D342" s="88"/>
      <c r="E342" s="88"/>
      <c r="F342" s="10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>
      <c r="A343" s="111"/>
      <c r="B343" s="88"/>
      <c r="C343" s="88"/>
      <c r="D343" s="88"/>
      <c r="E343" s="88"/>
      <c r="F343" s="10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>
      <c r="A344" s="111"/>
      <c r="B344" s="88"/>
      <c r="C344" s="88"/>
      <c r="D344" s="88"/>
      <c r="E344" s="88"/>
      <c r="F344" s="10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111"/>
      <c r="B345" s="88"/>
      <c r="C345" s="88"/>
      <c r="D345" s="88"/>
      <c r="E345" s="88"/>
      <c r="F345" s="10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>
      <c r="A346" s="111"/>
      <c r="B346" s="88"/>
      <c r="C346" s="88"/>
      <c r="D346" s="88"/>
      <c r="E346" s="88"/>
      <c r="F346" s="10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>
      <c r="A347" s="111"/>
      <c r="B347" s="88"/>
      <c r="C347" s="88"/>
      <c r="D347" s="88"/>
      <c r="E347" s="88"/>
      <c r="F347" s="10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111"/>
      <c r="B348" s="88"/>
      <c r="C348" s="88"/>
      <c r="D348" s="88"/>
      <c r="E348" s="88"/>
      <c r="F348" s="10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>
      <c r="A349" s="111"/>
      <c r="B349" s="88"/>
      <c r="C349" s="88"/>
      <c r="D349" s="88"/>
      <c r="E349" s="88"/>
      <c r="F349" s="10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>
      <c r="A350" s="111"/>
      <c r="B350" s="88"/>
      <c r="C350" s="88"/>
      <c r="D350" s="88"/>
      <c r="E350" s="88"/>
      <c r="F350" s="10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>
      <c r="A351" s="111"/>
      <c r="B351" s="88"/>
      <c r="C351" s="88"/>
      <c r="D351" s="88"/>
      <c r="E351" s="88"/>
      <c r="F351" s="10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>
      <c r="A352" s="111"/>
      <c r="B352" s="88"/>
      <c r="C352" s="88"/>
      <c r="D352" s="88"/>
      <c r="E352" s="88"/>
      <c r="F352" s="10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>
      <c r="A353" s="111"/>
      <c r="B353" s="88"/>
      <c r="C353" s="88"/>
      <c r="D353" s="88"/>
      <c r="E353" s="88"/>
      <c r="F353" s="10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>
      <c r="A354" s="111"/>
      <c r="B354" s="88"/>
      <c r="C354" s="88"/>
      <c r="D354" s="88"/>
      <c r="E354" s="88"/>
      <c r="F354" s="10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>
      <c r="A355" s="111"/>
      <c r="B355" s="88"/>
      <c r="C355" s="88"/>
      <c r="D355" s="88"/>
      <c r="E355" s="88"/>
      <c r="F355" s="10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>
      <c r="A356" s="111"/>
      <c r="B356" s="88"/>
      <c r="C356" s="88"/>
      <c r="D356" s="88"/>
      <c r="E356" s="88"/>
      <c r="F356" s="10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>
      <c r="A357" s="111"/>
      <c r="B357" s="88"/>
      <c r="C357" s="88"/>
      <c r="D357" s="88"/>
      <c r="E357" s="88"/>
      <c r="F357" s="10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>
      <c r="A358" s="111"/>
      <c r="B358" s="88"/>
      <c r="C358" s="88"/>
      <c r="D358" s="88"/>
      <c r="E358" s="88"/>
      <c r="F358" s="10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>
      <c r="A359" s="111"/>
      <c r="B359" s="88"/>
      <c r="C359" s="88"/>
      <c r="D359" s="88"/>
      <c r="E359" s="88"/>
      <c r="F359" s="10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>
      <c r="A360" s="111"/>
      <c r="B360" s="88"/>
      <c r="C360" s="88"/>
      <c r="D360" s="88"/>
      <c r="E360" s="88"/>
      <c r="F360" s="10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>
      <c r="A361" s="111"/>
      <c r="B361" s="88"/>
      <c r="C361" s="88"/>
      <c r="D361" s="88"/>
      <c r="E361" s="88"/>
      <c r="F361" s="10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>
      <c r="A362" s="111"/>
      <c r="B362" s="88"/>
      <c r="C362" s="88"/>
      <c r="D362" s="88"/>
      <c r="E362" s="88"/>
      <c r="F362" s="10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>
      <c r="A363" s="111"/>
      <c r="B363" s="88"/>
      <c r="C363" s="88"/>
      <c r="D363" s="88"/>
      <c r="E363" s="88"/>
      <c r="F363" s="10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>
      <c r="A364" s="111"/>
      <c r="B364" s="88"/>
      <c r="C364" s="88"/>
      <c r="D364" s="88"/>
      <c r="E364" s="88"/>
      <c r="F364" s="10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>
      <c r="A365" s="111"/>
      <c r="B365" s="88"/>
      <c r="C365" s="88"/>
      <c r="D365" s="88"/>
      <c r="E365" s="88"/>
      <c r="F365" s="10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>
      <c r="A366" s="111"/>
      <c r="B366" s="88"/>
      <c r="C366" s="88"/>
      <c r="D366" s="88"/>
      <c r="E366" s="88"/>
      <c r="F366" s="10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>
      <c r="A367" s="111"/>
      <c r="B367" s="88"/>
      <c r="C367" s="88"/>
      <c r="D367" s="88"/>
      <c r="E367" s="88"/>
      <c r="F367" s="10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>
      <c r="A368" s="111"/>
      <c r="B368" s="88"/>
      <c r="C368" s="88"/>
      <c r="D368" s="88"/>
      <c r="E368" s="88"/>
      <c r="F368" s="10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>
      <c r="A369" s="111"/>
      <c r="B369" s="88"/>
      <c r="C369" s="88"/>
      <c r="D369" s="88"/>
      <c r="E369" s="88"/>
      <c r="F369" s="10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>
      <c r="A370" s="111"/>
      <c r="B370" s="88"/>
      <c r="C370" s="88"/>
      <c r="D370" s="88"/>
      <c r="E370" s="88"/>
      <c r="F370" s="10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>
      <c r="A371" s="111"/>
      <c r="B371" s="88"/>
      <c r="C371" s="88"/>
      <c r="D371" s="88"/>
      <c r="E371" s="88"/>
      <c r="F371" s="10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>
      <c r="A372" s="111"/>
      <c r="B372" s="88"/>
      <c r="C372" s="88"/>
      <c r="D372" s="88"/>
      <c r="E372" s="88"/>
      <c r="F372" s="10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>
      <c r="A373" s="111"/>
      <c r="B373" s="88"/>
      <c r="C373" s="88"/>
      <c r="D373" s="88"/>
      <c r="E373" s="88"/>
      <c r="F373" s="10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>
      <c r="A374" s="111"/>
      <c r="B374" s="88"/>
      <c r="C374" s="88"/>
      <c r="D374" s="88"/>
      <c r="E374" s="88"/>
      <c r="F374" s="10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>
      <c r="A375" s="111"/>
      <c r="B375" s="88"/>
      <c r="C375" s="88"/>
      <c r="D375" s="88"/>
      <c r="E375" s="88"/>
      <c r="F375" s="10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>
      <c r="A376" s="111"/>
      <c r="B376" s="88"/>
      <c r="C376" s="88"/>
      <c r="D376" s="88"/>
      <c r="E376" s="88"/>
      <c r="F376" s="10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>
      <c r="A377" s="111"/>
      <c r="B377" s="88"/>
      <c r="C377" s="88"/>
      <c r="D377" s="88"/>
      <c r="E377" s="88"/>
      <c r="F377" s="10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>
      <c r="A378" s="111"/>
      <c r="B378" s="88"/>
      <c r="C378" s="88"/>
      <c r="D378" s="88"/>
      <c r="E378" s="88"/>
      <c r="F378" s="10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>
      <c r="A379" s="111"/>
      <c r="B379" s="88"/>
      <c r="C379" s="88"/>
      <c r="D379" s="88"/>
      <c r="E379" s="88"/>
      <c r="F379" s="10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>
      <c r="A380" s="111"/>
      <c r="B380" s="88"/>
      <c r="C380" s="88"/>
      <c r="D380" s="88"/>
      <c r="E380" s="88"/>
      <c r="F380" s="10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>
      <c r="A381" s="111"/>
      <c r="B381" s="88"/>
      <c r="C381" s="88"/>
      <c r="D381" s="88"/>
      <c r="E381" s="88"/>
      <c r="F381" s="10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>
      <c r="A382" s="111"/>
      <c r="B382" s="88"/>
      <c r="C382" s="88"/>
      <c r="D382" s="88"/>
      <c r="E382" s="88"/>
      <c r="F382" s="10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>
      <c r="A383" s="111"/>
      <c r="B383" s="88"/>
      <c r="C383" s="88"/>
      <c r="D383" s="88"/>
      <c r="E383" s="88"/>
      <c r="F383" s="10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>
      <c r="A384" s="111"/>
      <c r="B384" s="88"/>
      <c r="C384" s="88"/>
      <c r="D384" s="88"/>
      <c r="E384" s="88"/>
      <c r="F384" s="10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>
      <c r="A385" s="111"/>
      <c r="B385" s="88"/>
      <c r="C385" s="88"/>
      <c r="D385" s="88"/>
      <c r="E385" s="88"/>
      <c r="F385" s="10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>
      <c r="A386" s="111"/>
      <c r="B386" s="88"/>
      <c r="C386" s="88"/>
      <c r="D386" s="88"/>
      <c r="E386" s="88"/>
      <c r="F386" s="10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>
      <c r="A387" s="111"/>
      <c r="B387" s="88"/>
      <c r="C387" s="88"/>
      <c r="D387" s="88"/>
      <c r="E387" s="88"/>
      <c r="F387" s="10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>
      <c r="A388" s="111"/>
      <c r="B388" s="88"/>
      <c r="C388" s="88"/>
      <c r="D388" s="88"/>
      <c r="E388" s="88"/>
      <c r="F388" s="10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>
      <c r="A389" s="111"/>
      <c r="B389" s="88"/>
      <c r="C389" s="88"/>
      <c r="D389" s="88"/>
      <c r="E389" s="88"/>
      <c r="F389" s="10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>
      <c r="A390" s="111"/>
      <c r="B390" s="88"/>
      <c r="C390" s="88"/>
      <c r="D390" s="88"/>
      <c r="E390" s="88"/>
      <c r="F390" s="10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>
      <c r="A391" s="111"/>
      <c r="B391" s="88"/>
      <c r="C391" s="88"/>
      <c r="D391" s="88"/>
      <c r="E391" s="88"/>
      <c r="F391" s="10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>
      <c r="A392" s="111"/>
      <c r="B392" s="88"/>
      <c r="C392" s="88"/>
      <c r="D392" s="88"/>
      <c r="E392" s="88"/>
      <c r="F392" s="10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>
      <c r="A393" s="111"/>
      <c r="B393" s="88"/>
      <c r="C393" s="88"/>
      <c r="D393" s="88"/>
      <c r="E393" s="88"/>
      <c r="F393" s="10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>
      <c r="A394" s="111"/>
      <c r="B394" s="88"/>
      <c r="C394" s="88"/>
      <c r="D394" s="88"/>
      <c r="E394" s="88"/>
      <c r="F394" s="10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>
      <c r="A395" s="111"/>
      <c r="B395" s="88"/>
      <c r="C395" s="88"/>
      <c r="D395" s="88"/>
      <c r="E395" s="88"/>
      <c r="F395" s="10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>
      <c r="A396" s="111"/>
      <c r="B396" s="88"/>
      <c r="C396" s="88"/>
      <c r="D396" s="88"/>
      <c r="E396" s="88"/>
      <c r="F396" s="10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>
      <c r="A397" s="111"/>
      <c r="B397" s="88"/>
      <c r="C397" s="88"/>
      <c r="D397" s="88"/>
      <c r="E397" s="88"/>
      <c r="F397" s="10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>
      <c r="A398" s="111"/>
      <c r="B398" s="88"/>
      <c r="C398" s="88"/>
      <c r="D398" s="88"/>
      <c r="E398" s="88"/>
      <c r="F398" s="10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>
      <c r="A399" s="111"/>
      <c r="B399" s="88"/>
      <c r="C399" s="88"/>
      <c r="D399" s="88"/>
      <c r="E399" s="88"/>
      <c r="F399" s="10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>
      <c r="A400" s="111"/>
      <c r="B400" s="88"/>
      <c r="C400" s="88"/>
      <c r="D400" s="88"/>
      <c r="E400" s="88"/>
      <c r="F400" s="10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>
      <c r="A401" s="111"/>
      <c r="B401" s="88"/>
      <c r="C401" s="88"/>
      <c r="D401" s="88"/>
      <c r="E401" s="88"/>
      <c r="F401" s="10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>
      <c r="A402" s="111"/>
      <c r="B402" s="88"/>
      <c r="C402" s="88"/>
      <c r="D402" s="88"/>
      <c r="E402" s="88"/>
      <c r="F402" s="10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>
      <c r="A403" s="111"/>
      <c r="B403" s="88"/>
      <c r="C403" s="88"/>
      <c r="D403" s="88"/>
      <c r="E403" s="88"/>
      <c r="F403" s="10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>
      <c r="A404" s="111"/>
      <c r="B404" s="88"/>
      <c r="C404" s="88"/>
      <c r="D404" s="88"/>
      <c r="E404" s="88"/>
      <c r="F404" s="10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>
      <c r="A405" s="111"/>
      <c r="B405" s="88"/>
      <c r="C405" s="88"/>
      <c r="D405" s="88"/>
      <c r="E405" s="88"/>
      <c r="F405" s="10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>
      <c r="A406" s="111"/>
      <c r="B406" s="88"/>
      <c r="C406" s="88"/>
      <c r="D406" s="88"/>
      <c r="E406" s="88"/>
      <c r="F406" s="10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>
      <c r="A407" s="111"/>
      <c r="B407" s="88"/>
      <c r="C407" s="88"/>
      <c r="D407" s="88"/>
      <c r="E407" s="88"/>
      <c r="F407" s="10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>
      <c r="A408" s="111"/>
      <c r="B408" s="88"/>
      <c r="C408" s="88"/>
      <c r="D408" s="88"/>
      <c r="E408" s="88"/>
      <c r="F408" s="10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>
      <c r="A409" s="111"/>
      <c r="B409" s="88"/>
      <c r="C409" s="88"/>
      <c r="D409" s="88"/>
      <c r="E409" s="88"/>
      <c r="F409" s="10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>
      <c r="A410" s="111"/>
      <c r="B410" s="88"/>
      <c r="C410" s="88"/>
      <c r="D410" s="88"/>
      <c r="E410" s="88"/>
      <c r="F410" s="10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>
      <c r="A411" s="111"/>
      <c r="B411" s="88"/>
      <c r="C411" s="88"/>
      <c r="D411" s="88"/>
      <c r="E411" s="88"/>
      <c r="F411" s="10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>
      <c r="A412" s="111"/>
      <c r="B412" s="88"/>
      <c r="C412" s="88"/>
      <c r="D412" s="88"/>
      <c r="E412" s="88"/>
      <c r="F412" s="10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>
      <c r="A413" s="111"/>
      <c r="B413" s="88"/>
      <c r="C413" s="88"/>
      <c r="D413" s="88"/>
      <c r="E413" s="88"/>
      <c r="F413" s="10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>
      <c r="A414" s="111"/>
      <c r="B414" s="88"/>
      <c r="C414" s="88"/>
      <c r="D414" s="88"/>
      <c r="E414" s="88"/>
      <c r="F414" s="10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>
      <c r="A415" s="111"/>
      <c r="B415" s="88"/>
      <c r="C415" s="88"/>
      <c r="D415" s="88"/>
      <c r="E415" s="88"/>
      <c r="F415" s="10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>
      <c r="A416" s="111"/>
      <c r="B416" s="88"/>
      <c r="C416" s="88"/>
      <c r="D416" s="88"/>
      <c r="E416" s="88"/>
      <c r="F416" s="10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>
      <c r="A417" s="111"/>
      <c r="B417" s="88"/>
      <c r="C417" s="88"/>
      <c r="D417" s="88"/>
      <c r="E417" s="88"/>
      <c r="F417" s="10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>
      <c r="A418" s="111"/>
      <c r="B418" s="88"/>
      <c r="C418" s="88"/>
      <c r="D418" s="88"/>
      <c r="E418" s="88"/>
      <c r="F418" s="10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>
      <c r="A419" s="111"/>
      <c r="B419" s="88"/>
      <c r="C419" s="88"/>
      <c r="D419" s="88"/>
      <c r="E419" s="88"/>
      <c r="F419" s="10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>
      <c r="A420" s="111"/>
      <c r="B420" s="88"/>
      <c r="C420" s="88"/>
      <c r="D420" s="88"/>
      <c r="E420" s="88"/>
      <c r="F420" s="10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>
      <c r="A421" s="111"/>
      <c r="B421" s="88"/>
      <c r="C421" s="88"/>
      <c r="D421" s="88"/>
      <c r="E421" s="88"/>
      <c r="F421" s="10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>
      <c r="A422" s="111"/>
      <c r="B422" s="88"/>
      <c r="C422" s="88"/>
      <c r="D422" s="88"/>
      <c r="E422" s="88"/>
      <c r="F422" s="10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>
      <c r="A423" s="111"/>
      <c r="B423" s="88"/>
      <c r="C423" s="88"/>
      <c r="D423" s="88"/>
      <c r="E423" s="88"/>
      <c r="F423" s="10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>
      <c r="A424" s="111"/>
      <c r="B424" s="88"/>
      <c r="C424" s="88"/>
      <c r="D424" s="88"/>
      <c r="E424" s="88"/>
      <c r="F424" s="10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>
      <c r="A425" s="111"/>
      <c r="B425" s="88"/>
      <c r="C425" s="88"/>
      <c r="D425" s="88"/>
      <c r="E425" s="88"/>
      <c r="F425" s="10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>
      <c r="A426" s="111"/>
      <c r="B426" s="88"/>
      <c r="C426" s="88"/>
      <c r="D426" s="88"/>
      <c r="E426" s="88"/>
      <c r="F426" s="10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>
      <c r="A427" s="111"/>
      <c r="B427" s="88"/>
      <c r="C427" s="88"/>
      <c r="D427" s="88"/>
      <c r="E427" s="88"/>
      <c r="F427" s="10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>
      <c r="A428" s="111"/>
      <c r="B428" s="88"/>
      <c r="C428" s="88"/>
      <c r="D428" s="88"/>
      <c r="E428" s="88"/>
      <c r="F428" s="10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>
      <c r="A429" s="111"/>
      <c r="B429" s="88"/>
      <c r="C429" s="88"/>
      <c r="D429" s="88"/>
      <c r="E429" s="88"/>
      <c r="F429" s="10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>
      <c r="A430" s="111"/>
      <c r="B430" s="88"/>
      <c r="C430" s="88"/>
      <c r="D430" s="88"/>
      <c r="E430" s="88"/>
      <c r="F430" s="10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>
      <c r="A431" s="111"/>
      <c r="B431" s="88"/>
      <c r="C431" s="88"/>
      <c r="D431" s="88"/>
      <c r="E431" s="88"/>
      <c r="F431" s="10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>
      <c r="A432" s="111"/>
      <c r="B432" s="88"/>
      <c r="C432" s="88"/>
      <c r="D432" s="88"/>
      <c r="E432" s="88"/>
      <c r="F432" s="10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>
      <c r="A433" s="111"/>
      <c r="B433" s="88"/>
      <c r="C433" s="88"/>
      <c r="D433" s="88"/>
      <c r="E433" s="88"/>
      <c r="F433" s="10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>
      <c r="A434" s="111"/>
      <c r="B434" s="88"/>
      <c r="C434" s="88"/>
      <c r="D434" s="88"/>
      <c r="E434" s="88"/>
      <c r="F434" s="10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>
      <c r="A435" s="111"/>
      <c r="B435" s="88"/>
      <c r="C435" s="88"/>
      <c r="D435" s="88"/>
      <c r="E435" s="88"/>
      <c r="F435" s="10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>
      <c r="A436" s="111"/>
      <c r="B436" s="88"/>
      <c r="C436" s="88"/>
      <c r="D436" s="88"/>
      <c r="E436" s="88"/>
      <c r="F436" s="10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>
      <c r="A437" s="111"/>
      <c r="B437" s="88"/>
      <c r="C437" s="88"/>
      <c r="D437" s="88"/>
      <c r="E437" s="88"/>
      <c r="F437" s="10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>
      <c r="A438" s="111"/>
      <c r="B438" s="88"/>
      <c r="C438" s="88"/>
      <c r="D438" s="88"/>
      <c r="E438" s="88"/>
      <c r="F438" s="10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>
      <c r="A439" s="111"/>
      <c r="B439" s="88"/>
      <c r="C439" s="88"/>
      <c r="D439" s="88"/>
      <c r="E439" s="88"/>
      <c r="F439" s="10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>
      <c r="A440" s="111"/>
      <c r="B440" s="88"/>
      <c r="C440" s="88"/>
      <c r="D440" s="88"/>
      <c r="E440" s="88"/>
      <c r="F440" s="10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>
      <c r="A441" s="111"/>
      <c r="B441" s="88"/>
      <c r="C441" s="88"/>
      <c r="D441" s="88"/>
      <c r="E441" s="88"/>
      <c r="F441" s="10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>
      <c r="A442" s="111"/>
      <c r="B442" s="88"/>
      <c r="C442" s="88"/>
      <c r="D442" s="88"/>
      <c r="E442" s="88"/>
      <c r="F442" s="10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>
      <c r="A443" s="111"/>
      <c r="B443" s="88"/>
      <c r="C443" s="88"/>
      <c r="D443" s="88"/>
      <c r="E443" s="88"/>
      <c r="F443" s="10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>
      <c r="A444" s="111"/>
      <c r="B444" s="88"/>
      <c r="C444" s="88"/>
      <c r="D444" s="88"/>
      <c r="E444" s="88"/>
      <c r="F444" s="10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>
      <c r="A445" s="111"/>
      <c r="B445" s="88"/>
      <c r="C445" s="88"/>
      <c r="D445" s="88"/>
      <c r="E445" s="88"/>
      <c r="F445" s="10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>
      <c r="A446" s="111"/>
      <c r="B446" s="88"/>
      <c r="C446" s="88"/>
      <c r="D446" s="88"/>
      <c r="E446" s="88"/>
      <c r="F446" s="10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>
      <c r="A447" s="111"/>
      <c r="B447" s="88"/>
      <c r="C447" s="88"/>
      <c r="D447" s="88"/>
      <c r="E447" s="88"/>
      <c r="F447" s="10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>
      <c r="A448" s="111"/>
      <c r="B448" s="88"/>
      <c r="C448" s="88"/>
      <c r="D448" s="88"/>
      <c r="E448" s="88"/>
      <c r="F448" s="10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>
      <c r="A449" s="111"/>
      <c r="B449" s="88"/>
      <c r="C449" s="88"/>
      <c r="D449" s="88"/>
      <c r="E449" s="88"/>
      <c r="F449" s="10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>
      <c r="A450" s="111"/>
      <c r="B450" s="88"/>
      <c r="C450" s="88"/>
      <c r="D450" s="88"/>
      <c r="E450" s="88"/>
      <c r="F450" s="10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>
      <c r="A451" s="111"/>
      <c r="B451" s="88"/>
      <c r="C451" s="88"/>
      <c r="D451" s="88"/>
      <c r="E451" s="88"/>
      <c r="F451" s="10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>
      <c r="A452" s="111"/>
      <c r="B452" s="88"/>
      <c r="C452" s="88"/>
      <c r="D452" s="88"/>
      <c r="E452" s="88"/>
      <c r="F452" s="10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>
      <c r="A453" s="111"/>
      <c r="B453" s="88"/>
      <c r="C453" s="88"/>
      <c r="D453" s="88"/>
      <c r="E453" s="88"/>
      <c r="F453" s="10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>
      <c r="A454" s="111"/>
      <c r="B454" s="88"/>
      <c r="C454" s="88"/>
      <c r="D454" s="88"/>
      <c r="E454" s="88"/>
      <c r="F454" s="10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>
      <c r="A455" s="111"/>
      <c r="B455" s="88"/>
      <c r="C455" s="88"/>
      <c r="D455" s="88"/>
      <c r="E455" s="88"/>
      <c r="F455" s="10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>
      <c r="A456" s="111"/>
      <c r="B456" s="88"/>
      <c r="C456" s="88"/>
      <c r="D456" s="88"/>
      <c r="E456" s="88"/>
      <c r="F456" s="10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>
      <c r="A457" s="111"/>
      <c r="B457" s="88"/>
      <c r="C457" s="88"/>
      <c r="D457" s="88"/>
      <c r="E457" s="88"/>
      <c r="F457" s="10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>
      <c r="A458" s="111"/>
      <c r="B458" s="88"/>
      <c r="C458" s="88"/>
      <c r="D458" s="88"/>
      <c r="E458" s="88"/>
      <c r="F458" s="10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>
      <c r="A459" s="111"/>
      <c r="B459" s="88"/>
      <c r="C459" s="88"/>
      <c r="D459" s="88"/>
      <c r="E459" s="88"/>
      <c r="F459" s="10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>
      <c r="A460" s="111"/>
      <c r="B460" s="88"/>
      <c r="C460" s="88"/>
      <c r="D460" s="88"/>
      <c r="E460" s="88"/>
      <c r="F460" s="10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>
      <c r="A461" s="111"/>
      <c r="B461" s="88"/>
      <c r="C461" s="88"/>
      <c r="D461" s="88"/>
      <c r="E461" s="88"/>
      <c r="F461" s="10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>
      <c r="A462" s="111"/>
      <c r="B462" s="88"/>
      <c r="C462" s="88"/>
      <c r="D462" s="88"/>
      <c r="E462" s="88"/>
      <c r="F462" s="10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>
      <c r="A463" s="111"/>
      <c r="B463" s="88"/>
      <c r="C463" s="88"/>
      <c r="D463" s="88"/>
      <c r="E463" s="88"/>
      <c r="F463" s="10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>
      <c r="A464" s="111"/>
      <c r="B464" s="88"/>
      <c r="C464" s="88"/>
      <c r="D464" s="88"/>
      <c r="E464" s="88"/>
      <c r="F464" s="10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>
      <c r="A465" s="111"/>
      <c r="B465" s="88"/>
      <c r="C465" s="88"/>
      <c r="D465" s="88"/>
      <c r="E465" s="88"/>
      <c r="F465" s="10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>
      <c r="A466" s="111"/>
      <c r="B466" s="88"/>
      <c r="C466" s="88"/>
      <c r="D466" s="88"/>
      <c r="E466" s="88"/>
      <c r="F466" s="10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>
      <c r="A467" s="111"/>
      <c r="B467" s="88"/>
      <c r="C467" s="88"/>
      <c r="D467" s="88"/>
      <c r="E467" s="88"/>
      <c r="F467" s="10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>
      <c r="A468" s="111"/>
      <c r="B468" s="88"/>
      <c r="C468" s="88"/>
      <c r="D468" s="88"/>
      <c r="E468" s="88"/>
      <c r="F468" s="10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>
      <c r="A469" s="111"/>
      <c r="B469" s="88"/>
      <c r="C469" s="88"/>
      <c r="D469" s="88"/>
      <c r="E469" s="88"/>
      <c r="F469" s="10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>
      <c r="A470" s="111"/>
      <c r="B470" s="88"/>
      <c r="C470" s="88"/>
      <c r="D470" s="88"/>
      <c r="E470" s="88"/>
      <c r="F470" s="10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>
      <c r="A471" s="111"/>
      <c r="B471" s="88"/>
      <c r="C471" s="88"/>
      <c r="D471" s="88"/>
      <c r="E471" s="88"/>
      <c r="F471" s="10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>
      <c r="A472" s="111"/>
      <c r="B472" s="88"/>
      <c r="C472" s="88"/>
      <c r="D472" s="88"/>
      <c r="E472" s="88"/>
      <c r="F472" s="10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>
      <c r="A473" s="111"/>
      <c r="B473" s="88"/>
      <c r="C473" s="88"/>
      <c r="D473" s="88"/>
      <c r="E473" s="88"/>
      <c r="F473" s="10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>
      <c r="A474" s="111"/>
      <c r="B474" s="88"/>
      <c r="C474" s="88"/>
      <c r="D474" s="88"/>
      <c r="E474" s="88"/>
      <c r="F474" s="10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>
      <c r="A475" s="111"/>
      <c r="B475" s="88"/>
      <c r="C475" s="88"/>
      <c r="D475" s="88"/>
      <c r="E475" s="88"/>
      <c r="F475" s="10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>
      <c r="A476" s="111"/>
      <c r="B476" s="88"/>
      <c r="C476" s="88"/>
      <c r="D476" s="88"/>
      <c r="E476" s="88"/>
      <c r="F476" s="10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>
      <c r="A477" s="111"/>
      <c r="B477" s="88"/>
      <c r="C477" s="88"/>
      <c r="D477" s="88"/>
      <c r="E477" s="88"/>
      <c r="F477" s="10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>
      <c r="A478" s="111"/>
      <c r="B478" s="88"/>
      <c r="C478" s="88"/>
      <c r="D478" s="88"/>
      <c r="E478" s="88"/>
      <c r="F478" s="10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>
      <c r="A479" s="111"/>
      <c r="B479" s="88"/>
      <c r="C479" s="88"/>
      <c r="D479" s="88"/>
      <c r="E479" s="88"/>
      <c r="F479" s="10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>
      <c r="A480" s="111"/>
      <c r="B480" s="88"/>
      <c r="C480" s="88"/>
      <c r="D480" s="88"/>
      <c r="E480" s="88"/>
      <c r="F480" s="10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>
      <c r="A481" s="111"/>
      <c r="B481" s="88"/>
      <c r="C481" s="88"/>
      <c r="D481" s="88"/>
      <c r="E481" s="88"/>
      <c r="F481" s="10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>
      <c r="A482" s="111"/>
      <c r="B482" s="88"/>
      <c r="C482" s="88"/>
      <c r="D482" s="88"/>
      <c r="E482" s="88"/>
      <c r="F482" s="10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>
      <c r="A483" s="111"/>
      <c r="B483" s="88"/>
      <c r="C483" s="88"/>
      <c r="D483" s="88"/>
      <c r="E483" s="88"/>
      <c r="F483" s="10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>
      <c r="A484" s="111"/>
      <c r="B484" s="88"/>
      <c r="C484" s="88"/>
      <c r="D484" s="88"/>
      <c r="E484" s="88"/>
      <c r="F484" s="10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>
      <c r="A485" s="111"/>
      <c r="B485" s="88"/>
      <c r="C485" s="88"/>
      <c r="D485" s="88"/>
      <c r="E485" s="88"/>
      <c r="F485" s="10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>
      <c r="A486" s="111"/>
      <c r="B486" s="88"/>
      <c r="C486" s="88"/>
      <c r="D486" s="88"/>
      <c r="E486" s="88"/>
      <c r="F486" s="10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>
      <c r="A487" s="111"/>
      <c r="B487" s="88"/>
      <c r="C487" s="88"/>
      <c r="D487" s="88"/>
      <c r="E487" s="88"/>
      <c r="F487" s="10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>
      <c r="A488" s="111"/>
      <c r="B488" s="88"/>
      <c r="C488" s="88"/>
      <c r="D488" s="88"/>
      <c r="E488" s="88"/>
      <c r="F488" s="10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>
      <c r="A489" s="111"/>
      <c r="B489" s="88"/>
      <c r="C489" s="88"/>
      <c r="D489" s="88"/>
      <c r="E489" s="88"/>
      <c r="F489" s="10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>
      <c r="A490" s="111"/>
      <c r="B490" s="88"/>
      <c r="C490" s="88"/>
      <c r="D490" s="88"/>
      <c r="E490" s="88"/>
      <c r="F490" s="10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>
      <c r="A491" s="111"/>
      <c r="B491" s="88"/>
      <c r="C491" s="88"/>
      <c r="D491" s="88"/>
      <c r="E491" s="88"/>
      <c r="F491" s="10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>
      <c r="A492" s="111"/>
      <c r="B492" s="88"/>
      <c r="C492" s="88"/>
      <c r="D492" s="88"/>
      <c r="E492" s="88"/>
      <c r="F492" s="10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>
      <c r="A493" s="111"/>
      <c r="B493" s="88"/>
      <c r="C493" s="88"/>
      <c r="D493" s="88"/>
      <c r="E493" s="88"/>
      <c r="F493" s="10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>
      <c r="A494" s="111"/>
      <c r="B494" s="88"/>
      <c r="C494" s="88"/>
      <c r="D494" s="88"/>
      <c r="E494" s="88"/>
      <c r="F494" s="10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>
      <c r="A495" s="111"/>
      <c r="B495" s="88"/>
      <c r="C495" s="88"/>
      <c r="D495" s="88"/>
      <c r="E495" s="88"/>
      <c r="F495" s="10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>
      <c r="A496" s="111"/>
      <c r="B496" s="88"/>
      <c r="C496" s="88"/>
      <c r="D496" s="88"/>
      <c r="E496" s="88"/>
      <c r="F496" s="10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>
      <c r="A497" s="111"/>
      <c r="B497" s="88"/>
      <c r="C497" s="88"/>
      <c r="D497" s="88"/>
      <c r="E497" s="88"/>
      <c r="F497" s="10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>
      <c r="A498" s="111"/>
      <c r="B498" s="88"/>
      <c r="C498" s="88"/>
      <c r="D498" s="88"/>
      <c r="E498" s="88"/>
      <c r="F498" s="10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>
      <c r="A499" s="111"/>
      <c r="B499" s="88"/>
      <c r="C499" s="88"/>
      <c r="D499" s="88"/>
      <c r="E499" s="88"/>
      <c r="F499" s="10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>
      <c r="A500" s="111"/>
      <c r="B500" s="88"/>
      <c r="C500" s="88"/>
      <c r="D500" s="88"/>
      <c r="E500" s="88"/>
      <c r="F500" s="10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>
      <c r="A501" s="111"/>
      <c r="B501" s="88"/>
      <c r="C501" s="88"/>
      <c r="D501" s="88"/>
      <c r="E501" s="88"/>
      <c r="F501" s="10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>
      <c r="A502" s="111"/>
      <c r="B502" s="88"/>
      <c r="C502" s="88"/>
      <c r="D502" s="88"/>
      <c r="E502" s="88"/>
      <c r="F502" s="10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>
      <c r="A503" s="111"/>
      <c r="B503" s="88"/>
      <c r="C503" s="88"/>
      <c r="D503" s="88"/>
      <c r="E503" s="88"/>
      <c r="F503" s="10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>
      <c r="A504" s="111"/>
      <c r="B504" s="88"/>
      <c r="C504" s="88"/>
      <c r="D504" s="88"/>
      <c r="E504" s="88"/>
      <c r="F504" s="10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>
      <c r="A505" s="111"/>
      <c r="B505" s="88"/>
      <c r="C505" s="88"/>
      <c r="D505" s="88"/>
      <c r="E505" s="88"/>
      <c r="F505" s="10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>
      <c r="A506" s="111"/>
      <c r="B506" s="88"/>
      <c r="C506" s="88"/>
      <c r="D506" s="88"/>
      <c r="E506" s="88"/>
      <c r="F506" s="10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>
      <c r="A507" s="111"/>
      <c r="B507" s="88"/>
      <c r="C507" s="88"/>
      <c r="D507" s="88"/>
      <c r="E507" s="88"/>
      <c r="F507" s="10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>
      <c r="A508" s="111"/>
      <c r="B508" s="88"/>
      <c r="C508" s="88"/>
      <c r="D508" s="88"/>
      <c r="E508" s="88"/>
      <c r="F508" s="10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>
      <c r="A509" s="111"/>
      <c r="B509" s="88"/>
      <c r="C509" s="88"/>
      <c r="D509" s="88"/>
      <c r="E509" s="88"/>
      <c r="F509" s="10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>
      <c r="A510" s="111"/>
      <c r="B510" s="88"/>
      <c r="C510" s="88"/>
      <c r="D510" s="88"/>
      <c r="E510" s="88"/>
      <c r="F510" s="10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>
      <c r="A511" s="111"/>
      <c r="B511" s="88"/>
      <c r="C511" s="88"/>
      <c r="D511" s="88"/>
      <c r="E511" s="88"/>
      <c r="F511" s="10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>
      <c r="A512" s="111"/>
      <c r="B512" s="88"/>
      <c r="C512" s="88"/>
      <c r="D512" s="88"/>
      <c r="E512" s="88"/>
      <c r="F512" s="10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>
      <c r="A513" s="111"/>
      <c r="B513" s="88"/>
      <c r="C513" s="88"/>
      <c r="D513" s="88"/>
      <c r="E513" s="88"/>
      <c r="F513" s="10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>
      <c r="A514" s="111"/>
      <c r="B514" s="88"/>
      <c r="C514" s="88"/>
      <c r="D514" s="88"/>
      <c r="E514" s="88"/>
      <c r="F514" s="10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>
      <c r="A515" s="111"/>
      <c r="B515" s="88"/>
      <c r="C515" s="88"/>
      <c r="D515" s="88"/>
      <c r="E515" s="88"/>
      <c r="F515" s="10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>
      <c r="A516" s="111"/>
      <c r="B516" s="88"/>
      <c r="C516" s="88"/>
      <c r="D516" s="88"/>
      <c r="E516" s="88"/>
      <c r="F516" s="10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>
      <c r="A517" s="111"/>
      <c r="B517" s="88"/>
      <c r="C517" s="88"/>
      <c r="D517" s="88"/>
      <c r="E517" s="88"/>
      <c r="F517" s="10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>
      <c r="A518" s="111"/>
      <c r="B518" s="88"/>
      <c r="C518" s="88"/>
      <c r="D518" s="88"/>
      <c r="E518" s="88"/>
      <c r="F518" s="10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>
      <c r="A519" s="111"/>
      <c r="B519" s="88"/>
      <c r="C519" s="88"/>
      <c r="D519" s="88"/>
      <c r="E519" s="88"/>
      <c r="F519" s="10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>
      <c r="A520" s="111"/>
      <c r="B520" s="88"/>
      <c r="C520" s="88"/>
      <c r="D520" s="88"/>
      <c r="E520" s="88"/>
      <c r="F520" s="10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>
      <c r="A521" s="111"/>
      <c r="B521" s="88"/>
      <c r="C521" s="88"/>
      <c r="D521" s="88"/>
      <c r="E521" s="88"/>
      <c r="F521" s="10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>
      <c r="A522" s="111"/>
      <c r="B522" s="88"/>
      <c r="C522" s="88"/>
      <c r="D522" s="88"/>
      <c r="E522" s="88"/>
      <c r="F522" s="10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>
      <c r="A523" s="111"/>
      <c r="B523" s="88"/>
      <c r="C523" s="88"/>
      <c r="D523" s="88"/>
      <c r="E523" s="88"/>
      <c r="F523" s="10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>
      <c r="A524" s="111"/>
      <c r="B524" s="88"/>
      <c r="C524" s="88"/>
      <c r="D524" s="88"/>
      <c r="E524" s="88"/>
      <c r="F524" s="10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>
      <c r="A525" s="111"/>
      <c r="B525" s="88"/>
      <c r="C525" s="88"/>
      <c r="D525" s="88"/>
      <c r="E525" s="88"/>
      <c r="F525" s="10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>
      <c r="A526" s="111"/>
      <c r="B526" s="88"/>
      <c r="C526" s="88"/>
      <c r="D526" s="88"/>
      <c r="E526" s="88"/>
      <c r="F526" s="10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>
      <c r="A527" s="111"/>
      <c r="B527" s="88"/>
      <c r="C527" s="88"/>
      <c r="D527" s="88"/>
      <c r="E527" s="88"/>
      <c r="F527" s="10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>
      <c r="A528" s="111"/>
      <c r="B528" s="88"/>
      <c r="C528" s="88"/>
      <c r="D528" s="88"/>
      <c r="E528" s="88"/>
      <c r="F528" s="10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>
      <c r="A529" s="111"/>
      <c r="B529" s="88"/>
      <c r="C529" s="88"/>
      <c r="D529" s="88"/>
      <c r="E529" s="88"/>
      <c r="F529" s="10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>
      <c r="A530" s="111"/>
      <c r="B530" s="88"/>
      <c r="C530" s="88"/>
      <c r="D530" s="88"/>
      <c r="E530" s="88"/>
      <c r="F530" s="10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>
      <c r="A531" s="111"/>
      <c r="B531" s="88"/>
      <c r="C531" s="88"/>
      <c r="D531" s="88"/>
      <c r="E531" s="88"/>
      <c r="F531" s="10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>
      <c r="A532" s="111"/>
      <c r="B532" s="88"/>
      <c r="C532" s="88"/>
      <c r="D532" s="88"/>
      <c r="E532" s="88"/>
      <c r="F532" s="10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>
      <c r="A533" s="111"/>
      <c r="B533" s="88"/>
      <c r="C533" s="88"/>
      <c r="D533" s="88"/>
      <c r="E533" s="88"/>
      <c r="F533" s="10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>
      <c r="A534" s="111"/>
      <c r="B534" s="88"/>
      <c r="C534" s="88"/>
      <c r="D534" s="88"/>
      <c r="E534" s="88"/>
      <c r="F534" s="10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>
      <c r="A535" s="111"/>
      <c r="B535" s="88"/>
      <c r="C535" s="88"/>
      <c r="D535" s="88"/>
      <c r="E535" s="88"/>
      <c r="F535" s="10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>
      <c r="A536" s="111"/>
      <c r="B536" s="88"/>
      <c r="C536" s="88"/>
      <c r="D536" s="88"/>
      <c r="E536" s="88"/>
      <c r="F536" s="10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>
      <c r="A537" s="111"/>
      <c r="B537" s="88"/>
      <c r="C537" s="88"/>
      <c r="D537" s="88"/>
      <c r="E537" s="88"/>
      <c r="F537" s="10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>
      <c r="A538" s="111"/>
      <c r="B538" s="88"/>
      <c r="C538" s="88"/>
      <c r="D538" s="88"/>
      <c r="E538" s="88"/>
      <c r="F538" s="10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>
      <c r="A539" s="111"/>
      <c r="B539" s="88"/>
      <c r="C539" s="88"/>
      <c r="D539" s="88"/>
      <c r="E539" s="88"/>
      <c r="F539" s="10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>
      <c r="A540" s="111"/>
      <c r="B540" s="88"/>
      <c r="C540" s="88"/>
      <c r="D540" s="88"/>
      <c r="E540" s="88"/>
      <c r="F540" s="10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>
      <c r="A541" s="111"/>
      <c r="B541" s="88"/>
      <c r="C541" s="88"/>
      <c r="D541" s="88"/>
      <c r="E541" s="88"/>
      <c r="F541" s="10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>
      <c r="A542" s="111"/>
      <c r="B542" s="88"/>
      <c r="C542" s="88"/>
      <c r="D542" s="88"/>
      <c r="E542" s="88"/>
      <c r="F542" s="10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>
      <c r="A543" s="111"/>
      <c r="B543" s="88"/>
      <c r="C543" s="88"/>
      <c r="D543" s="88"/>
      <c r="E543" s="88"/>
      <c r="F543" s="10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>
      <c r="A544" s="111"/>
      <c r="B544" s="88"/>
      <c r="C544" s="88"/>
      <c r="D544" s="88"/>
      <c r="E544" s="88"/>
      <c r="F544" s="10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>
      <c r="A545" s="111"/>
      <c r="B545" s="88"/>
      <c r="C545" s="88"/>
      <c r="D545" s="88"/>
      <c r="E545" s="88"/>
      <c r="F545" s="10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>
      <c r="A546" s="111"/>
      <c r="B546" s="88"/>
      <c r="C546" s="88"/>
      <c r="D546" s="88"/>
      <c r="E546" s="88"/>
      <c r="F546" s="10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>
      <c r="A547" s="111"/>
      <c r="B547" s="88"/>
      <c r="C547" s="88"/>
      <c r="D547" s="88"/>
      <c r="E547" s="88"/>
      <c r="F547" s="10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>
      <c r="A548" s="111"/>
      <c r="B548" s="88"/>
      <c r="C548" s="88"/>
      <c r="D548" s="88"/>
      <c r="E548" s="88"/>
      <c r="F548" s="10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>
      <c r="A549" s="111"/>
      <c r="B549" s="88"/>
      <c r="C549" s="88"/>
      <c r="D549" s="88"/>
      <c r="E549" s="88"/>
      <c r="F549" s="10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>
      <c r="A550" s="111"/>
      <c r="B550" s="88"/>
      <c r="C550" s="88"/>
      <c r="D550" s="88"/>
      <c r="E550" s="88"/>
      <c r="F550" s="10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>
      <c r="A551" s="111"/>
      <c r="B551" s="88"/>
      <c r="C551" s="88"/>
      <c r="D551" s="88"/>
      <c r="E551" s="88"/>
      <c r="F551" s="10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>
      <c r="A552" s="111"/>
      <c r="B552" s="88"/>
      <c r="C552" s="88"/>
      <c r="D552" s="88"/>
      <c r="E552" s="88"/>
      <c r="F552" s="10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>
      <c r="A553" s="111"/>
      <c r="B553" s="88"/>
      <c r="C553" s="88"/>
      <c r="D553" s="88"/>
      <c r="E553" s="88"/>
      <c r="F553" s="10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>
      <c r="A554" s="111"/>
      <c r="B554" s="88"/>
      <c r="C554" s="88"/>
      <c r="D554" s="88"/>
      <c r="E554" s="88"/>
      <c r="F554" s="10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>
      <c r="A555" s="111"/>
      <c r="B555" s="88"/>
      <c r="C555" s="88"/>
      <c r="D555" s="88"/>
      <c r="E555" s="88"/>
      <c r="F555" s="10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>
      <c r="A556" s="111"/>
      <c r="B556" s="88"/>
      <c r="C556" s="88"/>
      <c r="D556" s="88"/>
      <c r="E556" s="88"/>
      <c r="F556" s="10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>
      <c r="A557" s="111"/>
      <c r="B557" s="88"/>
      <c r="C557" s="88"/>
      <c r="D557" s="88"/>
      <c r="E557" s="88"/>
      <c r="F557" s="10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>
      <c r="A558" s="111"/>
      <c r="B558" s="88"/>
      <c r="C558" s="88"/>
      <c r="D558" s="88"/>
      <c r="E558" s="88"/>
      <c r="F558" s="10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>
      <c r="A559" s="111"/>
      <c r="B559" s="88"/>
      <c r="C559" s="88"/>
      <c r="D559" s="88"/>
      <c r="E559" s="88"/>
      <c r="F559" s="10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>
      <c r="A560" s="111"/>
      <c r="B560" s="88"/>
      <c r="C560" s="88"/>
      <c r="D560" s="88"/>
      <c r="E560" s="88"/>
      <c r="F560" s="10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>
      <c r="A561" s="111"/>
      <c r="B561" s="88"/>
      <c r="C561" s="88"/>
      <c r="D561" s="88"/>
      <c r="E561" s="88"/>
      <c r="F561" s="10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>
      <c r="A562" s="111"/>
      <c r="B562" s="88"/>
      <c r="C562" s="88"/>
      <c r="D562" s="88"/>
      <c r="E562" s="88"/>
      <c r="F562" s="10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>
      <c r="A563" s="111"/>
      <c r="B563" s="88"/>
      <c r="C563" s="88"/>
      <c r="D563" s="88"/>
      <c r="E563" s="88"/>
      <c r="F563" s="10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>
      <c r="A564" s="111"/>
      <c r="B564" s="88"/>
      <c r="C564" s="88"/>
      <c r="D564" s="88"/>
      <c r="E564" s="88"/>
      <c r="F564" s="10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>
      <c r="A565" s="111"/>
      <c r="B565" s="88"/>
      <c r="C565" s="88"/>
      <c r="D565" s="88"/>
      <c r="E565" s="88"/>
      <c r="F565" s="10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>
      <c r="A566" s="111"/>
      <c r="B566" s="88"/>
      <c r="C566" s="88"/>
      <c r="D566" s="88"/>
      <c r="E566" s="88"/>
      <c r="F566" s="10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>
      <c r="A567" s="111"/>
      <c r="B567" s="88"/>
      <c r="C567" s="88"/>
      <c r="D567" s="88"/>
      <c r="E567" s="88"/>
      <c r="F567" s="10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>
      <c r="A568" s="111"/>
      <c r="B568" s="88"/>
      <c r="C568" s="88"/>
      <c r="D568" s="88"/>
      <c r="E568" s="88"/>
      <c r="F568" s="10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>
      <c r="A569" s="111"/>
      <c r="B569" s="88"/>
      <c r="C569" s="88"/>
      <c r="D569" s="88"/>
      <c r="E569" s="88"/>
      <c r="F569" s="10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>
      <c r="A570" s="111"/>
      <c r="B570" s="88"/>
      <c r="C570" s="88"/>
      <c r="D570" s="88"/>
      <c r="E570" s="88"/>
      <c r="F570" s="10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>
      <c r="A571" s="111"/>
      <c r="B571" s="88"/>
      <c r="C571" s="88"/>
      <c r="D571" s="88"/>
      <c r="E571" s="88"/>
      <c r="F571" s="10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>
      <c r="A572" s="111"/>
      <c r="B572" s="88"/>
      <c r="C572" s="88"/>
      <c r="D572" s="88"/>
      <c r="E572" s="88"/>
      <c r="F572" s="10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>
      <c r="A573" s="111"/>
      <c r="B573" s="88"/>
      <c r="C573" s="88"/>
      <c r="D573" s="88"/>
      <c r="E573" s="88"/>
      <c r="F573" s="10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>
      <c r="A574" s="111"/>
      <c r="B574" s="88"/>
      <c r="C574" s="88"/>
      <c r="D574" s="88"/>
      <c r="E574" s="88"/>
      <c r="F574" s="10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>
      <c r="A575" s="111"/>
      <c r="B575" s="88"/>
      <c r="C575" s="88"/>
      <c r="D575" s="88"/>
      <c r="E575" s="88"/>
      <c r="F575" s="10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>
      <c r="A576" s="111"/>
      <c r="B576" s="88"/>
      <c r="C576" s="88"/>
      <c r="D576" s="88"/>
      <c r="E576" s="88"/>
      <c r="F576" s="10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>
      <c r="A577" s="111"/>
      <c r="B577" s="88"/>
      <c r="C577" s="88"/>
      <c r="D577" s="88"/>
      <c r="E577" s="88"/>
      <c r="F577" s="10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>
      <c r="A578" s="111"/>
      <c r="B578" s="88"/>
      <c r="C578" s="88"/>
      <c r="D578" s="88"/>
      <c r="E578" s="88"/>
      <c r="F578" s="10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>
      <c r="A579" s="111"/>
      <c r="B579" s="88"/>
      <c r="C579" s="88"/>
      <c r="D579" s="88"/>
      <c r="E579" s="88"/>
      <c r="F579" s="10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>
      <c r="A580" s="111"/>
      <c r="B580" s="88"/>
      <c r="C580" s="88"/>
      <c r="D580" s="88"/>
      <c r="E580" s="88"/>
      <c r="F580" s="10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>
      <c r="A581" s="111"/>
      <c r="B581" s="88"/>
      <c r="C581" s="88"/>
      <c r="D581" s="88"/>
      <c r="E581" s="88"/>
      <c r="F581" s="10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>
      <c r="A582" s="111"/>
      <c r="B582" s="88"/>
      <c r="C582" s="88"/>
      <c r="D582" s="88"/>
      <c r="E582" s="88"/>
      <c r="F582" s="10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>
      <c r="A583" s="111"/>
      <c r="B583" s="88"/>
      <c r="C583" s="88"/>
      <c r="D583" s="88"/>
      <c r="E583" s="88"/>
      <c r="F583" s="10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>
      <c r="A584" s="111"/>
      <c r="B584" s="88"/>
      <c r="C584" s="88"/>
      <c r="D584" s="88"/>
      <c r="E584" s="88"/>
      <c r="F584" s="10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>
      <c r="A585" s="111"/>
      <c r="B585" s="88"/>
      <c r="C585" s="88"/>
      <c r="D585" s="88"/>
      <c r="E585" s="88"/>
      <c r="F585" s="10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>
      <c r="A586" s="111"/>
      <c r="B586" s="88"/>
      <c r="C586" s="88"/>
      <c r="D586" s="88"/>
      <c r="E586" s="88"/>
      <c r="F586" s="10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>
      <c r="A587" s="111"/>
      <c r="B587" s="88"/>
      <c r="C587" s="88"/>
      <c r="D587" s="88"/>
      <c r="E587" s="88"/>
      <c r="F587" s="10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>
      <c r="A588" s="111"/>
      <c r="B588" s="88"/>
      <c r="C588" s="88"/>
      <c r="D588" s="88"/>
      <c r="E588" s="88"/>
      <c r="F588" s="10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>
      <c r="A589" s="111"/>
      <c r="B589" s="88"/>
      <c r="C589" s="88"/>
      <c r="D589" s="88"/>
      <c r="E589" s="88"/>
      <c r="F589" s="10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>
      <c r="A590" s="111"/>
      <c r="B590" s="88"/>
      <c r="C590" s="88"/>
      <c r="D590" s="88"/>
      <c r="E590" s="88"/>
      <c r="F590" s="10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>
      <c r="A591" s="111"/>
      <c r="B591" s="88"/>
      <c r="C591" s="88"/>
      <c r="D591" s="88"/>
      <c r="E591" s="88"/>
      <c r="F591" s="10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>
      <c r="A592" s="111"/>
      <c r="B592" s="88"/>
      <c r="C592" s="88"/>
      <c r="D592" s="88"/>
      <c r="E592" s="88"/>
      <c r="F592" s="10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>
      <c r="A593" s="111"/>
      <c r="B593" s="88"/>
      <c r="C593" s="88"/>
      <c r="D593" s="88"/>
      <c r="E593" s="88"/>
      <c r="F593" s="10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>
      <c r="A594" s="111"/>
      <c r="B594" s="88"/>
      <c r="C594" s="88"/>
      <c r="D594" s="88"/>
      <c r="E594" s="88"/>
      <c r="F594" s="10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>
      <c r="A595" s="111"/>
      <c r="B595" s="88"/>
      <c r="C595" s="88"/>
      <c r="D595" s="88"/>
      <c r="E595" s="88"/>
      <c r="F595" s="10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>
      <c r="A596" s="111"/>
      <c r="B596" s="88"/>
      <c r="C596" s="88"/>
      <c r="D596" s="88"/>
      <c r="E596" s="88"/>
      <c r="F596" s="10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>
      <c r="A597" s="111"/>
      <c r="B597" s="88"/>
      <c r="C597" s="88"/>
      <c r="D597" s="88"/>
      <c r="E597" s="88"/>
      <c r="F597" s="10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>
      <c r="A598" s="111"/>
      <c r="B598" s="88"/>
      <c r="C598" s="88"/>
      <c r="D598" s="88"/>
      <c r="E598" s="88"/>
      <c r="F598" s="10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>
      <c r="A599" s="111"/>
      <c r="B599" s="88"/>
      <c r="C599" s="88"/>
      <c r="D599" s="88"/>
      <c r="E599" s="88"/>
      <c r="F599" s="10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>
      <c r="A600" s="111"/>
      <c r="B600" s="88"/>
      <c r="C600" s="88"/>
      <c r="D600" s="88"/>
      <c r="E600" s="88"/>
      <c r="F600" s="10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>
      <c r="A601" s="111"/>
      <c r="B601" s="88"/>
      <c r="C601" s="88"/>
      <c r="D601" s="88"/>
      <c r="E601" s="88"/>
      <c r="F601" s="10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>
      <c r="A602" s="111"/>
      <c r="B602" s="88"/>
      <c r="C602" s="88"/>
      <c r="D602" s="88"/>
      <c r="E602" s="88"/>
      <c r="F602" s="10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>
      <c r="A603" s="111"/>
      <c r="B603" s="88"/>
      <c r="C603" s="88"/>
      <c r="D603" s="88"/>
      <c r="E603" s="88"/>
      <c r="F603" s="10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>
      <c r="A604" s="111"/>
      <c r="B604" s="88"/>
      <c r="C604" s="88"/>
      <c r="D604" s="88"/>
      <c r="E604" s="88"/>
      <c r="F604" s="10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>
      <c r="A605" s="111"/>
      <c r="B605" s="88"/>
      <c r="C605" s="88"/>
      <c r="D605" s="88"/>
      <c r="E605" s="88"/>
      <c r="F605" s="10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>
      <c r="A606" s="111"/>
      <c r="B606" s="88"/>
      <c r="C606" s="88"/>
      <c r="D606" s="88"/>
      <c r="E606" s="88"/>
      <c r="F606" s="10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>
      <c r="A607" s="111"/>
      <c r="B607" s="88"/>
      <c r="C607" s="88"/>
      <c r="D607" s="88"/>
      <c r="E607" s="88"/>
      <c r="F607" s="10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>
      <c r="A608" s="111"/>
      <c r="B608" s="88"/>
      <c r="C608" s="88"/>
      <c r="D608" s="88"/>
      <c r="E608" s="88"/>
      <c r="F608" s="10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>
      <c r="A609" s="111"/>
      <c r="B609" s="88"/>
      <c r="C609" s="88"/>
      <c r="D609" s="88"/>
      <c r="E609" s="88"/>
      <c r="F609" s="10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>
      <c r="A610" s="111"/>
      <c r="B610" s="88"/>
      <c r="C610" s="88"/>
      <c r="D610" s="88"/>
      <c r="E610" s="88"/>
      <c r="F610" s="10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>
      <c r="A611" s="111"/>
      <c r="B611" s="88"/>
      <c r="C611" s="88"/>
      <c r="D611" s="88"/>
      <c r="E611" s="88"/>
      <c r="F611" s="10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>
      <c r="A612" s="111"/>
      <c r="B612" s="88"/>
      <c r="C612" s="88"/>
      <c r="D612" s="88"/>
      <c r="E612" s="88"/>
      <c r="F612" s="10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>
      <c r="A613" s="111"/>
      <c r="B613" s="88"/>
      <c r="C613" s="88"/>
      <c r="D613" s="88"/>
      <c r="E613" s="88"/>
      <c r="F613" s="10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>
      <c r="A614" s="111"/>
      <c r="B614" s="88"/>
      <c r="C614" s="88"/>
      <c r="D614" s="88"/>
      <c r="E614" s="88"/>
      <c r="F614" s="10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>
      <c r="A615" s="111"/>
      <c r="B615" s="88"/>
      <c r="C615" s="88"/>
      <c r="D615" s="88"/>
      <c r="E615" s="88"/>
      <c r="F615" s="10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>
      <c r="A616" s="111"/>
      <c r="B616" s="88"/>
      <c r="C616" s="88"/>
      <c r="D616" s="88"/>
      <c r="E616" s="88"/>
      <c r="F616" s="10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>
      <c r="A617" s="111"/>
      <c r="B617" s="88"/>
      <c r="C617" s="88"/>
      <c r="D617" s="88"/>
      <c r="E617" s="88"/>
      <c r="F617" s="10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>
      <c r="A618" s="111"/>
      <c r="B618" s="88"/>
      <c r="C618" s="88"/>
      <c r="D618" s="88"/>
      <c r="E618" s="88"/>
      <c r="F618" s="10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>
      <c r="A619" s="111"/>
      <c r="B619" s="88"/>
      <c r="C619" s="88"/>
      <c r="D619" s="88"/>
      <c r="E619" s="88"/>
      <c r="F619" s="10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>
      <c r="A620" s="111"/>
      <c r="B620" s="88"/>
      <c r="C620" s="88"/>
      <c r="D620" s="88"/>
      <c r="E620" s="88"/>
      <c r="F620" s="10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>
      <c r="A621" s="111"/>
      <c r="B621" s="88"/>
      <c r="C621" s="88"/>
      <c r="D621" s="88"/>
      <c r="E621" s="88"/>
      <c r="F621" s="10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>
      <c r="A622" s="111"/>
      <c r="B622" s="88"/>
      <c r="C622" s="88"/>
      <c r="D622" s="88"/>
      <c r="E622" s="88"/>
      <c r="F622" s="10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>
      <c r="A623" s="111"/>
      <c r="B623" s="88"/>
      <c r="C623" s="88"/>
      <c r="D623" s="88"/>
      <c r="E623" s="88"/>
      <c r="F623" s="10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>
      <c r="A624" s="111"/>
      <c r="B624" s="88"/>
      <c r="C624" s="88"/>
      <c r="D624" s="88"/>
      <c r="E624" s="88"/>
      <c r="F624" s="10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>
      <c r="A625" s="111"/>
      <c r="B625" s="88"/>
      <c r="C625" s="88"/>
      <c r="D625" s="88"/>
      <c r="E625" s="88"/>
      <c r="F625" s="10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>
      <c r="A626" s="111"/>
      <c r="B626" s="88"/>
      <c r="C626" s="88"/>
      <c r="D626" s="88"/>
      <c r="E626" s="88"/>
      <c r="F626" s="10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>
      <c r="A627" s="111"/>
      <c r="B627" s="88"/>
      <c r="C627" s="88"/>
      <c r="D627" s="88"/>
      <c r="E627" s="88"/>
      <c r="F627" s="10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>
      <c r="A628" s="111"/>
      <c r="B628" s="88"/>
      <c r="C628" s="88"/>
      <c r="D628" s="88"/>
      <c r="E628" s="88"/>
      <c r="F628" s="10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>
      <c r="A629" s="111"/>
      <c r="B629" s="88"/>
      <c r="C629" s="88"/>
      <c r="D629" s="88"/>
      <c r="E629" s="88"/>
      <c r="F629" s="10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>
      <c r="A630" s="111"/>
      <c r="B630" s="88"/>
      <c r="C630" s="88"/>
      <c r="D630" s="88"/>
      <c r="E630" s="88"/>
      <c r="F630" s="10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>
      <c r="A631" s="111"/>
      <c r="B631" s="88"/>
      <c r="C631" s="88"/>
      <c r="D631" s="88"/>
      <c r="E631" s="88"/>
      <c r="F631" s="10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>
      <c r="A632" s="111"/>
      <c r="B632" s="88"/>
      <c r="C632" s="88"/>
      <c r="D632" s="88"/>
      <c r="E632" s="88"/>
      <c r="F632" s="10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>
      <c r="A633" s="111"/>
      <c r="B633" s="88"/>
      <c r="C633" s="88"/>
      <c r="D633" s="88"/>
      <c r="E633" s="88"/>
      <c r="F633" s="10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>
      <c r="A634" s="111"/>
      <c r="B634" s="88"/>
      <c r="C634" s="88"/>
      <c r="D634" s="88"/>
      <c r="E634" s="88"/>
      <c r="F634" s="10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>
      <c r="A635" s="111"/>
      <c r="B635" s="88"/>
      <c r="C635" s="88"/>
      <c r="D635" s="88"/>
      <c r="E635" s="88"/>
      <c r="F635" s="10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>
      <c r="A636" s="111"/>
      <c r="B636" s="88"/>
      <c r="C636" s="88"/>
      <c r="D636" s="88"/>
      <c r="E636" s="88"/>
      <c r="F636" s="10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>
      <c r="A637" s="111"/>
      <c r="B637" s="88"/>
      <c r="C637" s="88"/>
      <c r="D637" s="88"/>
      <c r="E637" s="88"/>
      <c r="F637" s="10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>
      <c r="A638" s="111"/>
      <c r="B638" s="88"/>
      <c r="C638" s="88"/>
      <c r="D638" s="88"/>
      <c r="E638" s="88"/>
      <c r="F638" s="10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>
      <c r="A639" s="111"/>
      <c r="B639" s="88"/>
      <c r="C639" s="88"/>
      <c r="D639" s="88"/>
      <c r="E639" s="88"/>
      <c r="F639" s="10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>
      <c r="A640" s="111"/>
      <c r="B640" s="88"/>
      <c r="C640" s="88"/>
      <c r="D640" s="88"/>
      <c r="E640" s="88"/>
      <c r="F640" s="10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>
      <c r="A641" s="111"/>
      <c r="B641" s="88"/>
      <c r="C641" s="88"/>
      <c r="D641" s="88"/>
      <c r="E641" s="88"/>
      <c r="F641" s="10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>
      <c r="A642" s="111"/>
      <c r="B642" s="88"/>
      <c r="C642" s="88"/>
      <c r="D642" s="88"/>
      <c r="E642" s="88"/>
      <c r="F642" s="10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>
      <c r="A643" s="111"/>
      <c r="B643" s="88"/>
      <c r="C643" s="88"/>
      <c r="D643" s="88"/>
      <c r="E643" s="88"/>
      <c r="F643" s="10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>
      <c r="A644" s="111"/>
      <c r="B644" s="88"/>
      <c r="C644" s="88"/>
      <c r="D644" s="88"/>
      <c r="E644" s="88"/>
      <c r="F644" s="10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>
      <c r="A645" s="111"/>
      <c r="B645" s="88"/>
      <c r="C645" s="88"/>
      <c r="D645" s="88"/>
      <c r="E645" s="88"/>
      <c r="F645" s="10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>
      <c r="A646" s="111"/>
      <c r="B646" s="88"/>
      <c r="C646" s="88"/>
      <c r="D646" s="88"/>
      <c r="E646" s="88"/>
      <c r="F646" s="10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>
      <c r="A647" s="111"/>
      <c r="B647" s="88"/>
      <c r="C647" s="88"/>
      <c r="D647" s="88"/>
      <c r="E647" s="88"/>
      <c r="F647" s="10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>
      <c r="A648" s="111"/>
      <c r="B648" s="88"/>
      <c r="C648" s="88"/>
      <c r="D648" s="88"/>
      <c r="E648" s="88"/>
      <c r="F648" s="10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>
      <c r="A649" s="111"/>
      <c r="B649" s="88"/>
      <c r="C649" s="88"/>
      <c r="D649" s="88"/>
      <c r="E649" s="88"/>
      <c r="F649" s="10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>
      <c r="A650" s="111"/>
      <c r="B650" s="88"/>
      <c r="C650" s="88"/>
      <c r="D650" s="88"/>
      <c r="E650" s="88"/>
      <c r="F650" s="10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>
      <c r="A651" s="111"/>
      <c r="B651" s="88"/>
      <c r="C651" s="88"/>
      <c r="D651" s="88"/>
      <c r="E651" s="88"/>
      <c r="F651" s="10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>
      <c r="A652" s="111"/>
      <c r="B652" s="88"/>
      <c r="C652" s="88"/>
      <c r="D652" s="88"/>
      <c r="E652" s="88"/>
      <c r="F652" s="10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>
      <c r="A653" s="111"/>
      <c r="B653" s="88"/>
      <c r="C653" s="88"/>
      <c r="D653" s="88"/>
      <c r="E653" s="88"/>
      <c r="F653" s="10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>
      <c r="A654" s="111"/>
      <c r="B654" s="88"/>
      <c r="C654" s="88"/>
      <c r="D654" s="88"/>
      <c r="E654" s="88"/>
      <c r="F654" s="10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>
      <c r="A655" s="111"/>
      <c r="B655" s="88"/>
      <c r="C655" s="88"/>
      <c r="D655" s="88"/>
      <c r="E655" s="88"/>
      <c r="F655" s="10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>
      <c r="A656" s="111"/>
      <c r="B656" s="88"/>
      <c r="C656" s="88"/>
      <c r="D656" s="88"/>
      <c r="E656" s="88"/>
      <c r="F656" s="10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>
      <c r="A657" s="111"/>
      <c r="B657" s="88"/>
      <c r="C657" s="88"/>
      <c r="D657" s="88"/>
      <c r="E657" s="88"/>
      <c r="F657" s="10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>
      <c r="A658" s="111"/>
      <c r="B658" s="88"/>
      <c r="C658" s="88"/>
      <c r="D658" s="88"/>
      <c r="E658" s="88"/>
      <c r="F658" s="10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>
      <c r="A659" s="111"/>
      <c r="B659" s="88"/>
      <c r="C659" s="88"/>
      <c r="D659" s="88"/>
      <c r="E659" s="88"/>
      <c r="F659" s="10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>
      <c r="A660" s="111"/>
      <c r="B660" s="88"/>
      <c r="C660" s="88"/>
      <c r="D660" s="88"/>
      <c r="E660" s="88"/>
      <c r="F660" s="10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>
      <c r="A661" s="111"/>
      <c r="B661" s="88"/>
      <c r="C661" s="88"/>
      <c r="D661" s="88"/>
      <c r="E661" s="88"/>
      <c r="F661" s="10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>
      <c r="A662" s="111"/>
      <c r="B662" s="88"/>
      <c r="C662" s="88"/>
      <c r="D662" s="88"/>
      <c r="E662" s="88"/>
      <c r="F662" s="10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>
      <c r="A663" s="111"/>
      <c r="B663" s="88"/>
      <c r="C663" s="88"/>
      <c r="D663" s="88"/>
      <c r="E663" s="88"/>
      <c r="F663" s="10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>
      <c r="A664" s="111"/>
      <c r="B664" s="88"/>
      <c r="C664" s="88"/>
      <c r="D664" s="88"/>
      <c r="E664" s="88"/>
      <c r="F664" s="10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>
      <c r="A665" s="111"/>
      <c r="B665" s="88"/>
      <c r="C665" s="88"/>
      <c r="D665" s="88"/>
      <c r="E665" s="88"/>
      <c r="F665" s="10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>
      <c r="A666" s="111"/>
      <c r="B666" s="88"/>
      <c r="C666" s="88"/>
      <c r="D666" s="88"/>
      <c r="E666" s="88"/>
      <c r="F666" s="10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>
      <c r="A667" s="111"/>
      <c r="B667" s="88"/>
      <c r="C667" s="88"/>
      <c r="D667" s="88"/>
      <c r="E667" s="88"/>
      <c r="F667" s="10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>
      <c r="A668" s="111"/>
      <c r="B668" s="88"/>
      <c r="C668" s="88"/>
      <c r="D668" s="88"/>
      <c r="E668" s="88"/>
      <c r="F668" s="10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>
      <c r="A669" s="111"/>
      <c r="B669" s="88"/>
      <c r="C669" s="88"/>
      <c r="D669" s="88"/>
      <c r="E669" s="88"/>
      <c r="F669" s="10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>
      <c r="A670" s="111"/>
      <c r="B670" s="88"/>
      <c r="C670" s="88"/>
      <c r="D670" s="88"/>
      <c r="E670" s="88"/>
      <c r="F670" s="10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>
      <c r="A671" s="111"/>
      <c r="B671" s="88"/>
      <c r="C671" s="88"/>
      <c r="D671" s="88"/>
      <c r="E671" s="88"/>
      <c r="F671" s="10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>
      <c r="A672" s="111"/>
      <c r="B672" s="88"/>
      <c r="C672" s="88"/>
      <c r="D672" s="88"/>
      <c r="E672" s="88"/>
      <c r="F672" s="10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>
      <c r="A673" s="111"/>
      <c r="B673" s="88"/>
      <c r="C673" s="88"/>
      <c r="D673" s="88"/>
      <c r="E673" s="88"/>
      <c r="F673" s="10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>
      <c r="A674" s="111"/>
      <c r="B674" s="88"/>
      <c r="C674" s="88"/>
      <c r="D674" s="88"/>
      <c r="E674" s="88"/>
      <c r="F674" s="10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>
      <c r="A675" s="111"/>
      <c r="B675" s="88"/>
      <c r="C675" s="88"/>
      <c r="D675" s="88"/>
      <c r="E675" s="88"/>
      <c r="F675" s="10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>
      <c r="A676" s="111"/>
      <c r="B676" s="88"/>
      <c r="C676" s="88"/>
      <c r="D676" s="88"/>
      <c r="E676" s="88"/>
      <c r="F676" s="10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>
      <c r="A677" s="111"/>
      <c r="B677" s="88"/>
      <c r="C677" s="88"/>
      <c r="D677" s="88"/>
      <c r="E677" s="88"/>
      <c r="F677" s="10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>
      <c r="A678" s="111"/>
      <c r="B678" s="88"/>
      <c r="C678" s="88"/>
      <c r="D678" s="88"/>
      <c r="E678" s="88"/>
      <c r="F678" s="10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>
      <c r="A679" s="111"/>
      <c r="B679" s="88"/>
      <c r="C679" s="88"/>
      <c r="D679" s="88"/>
      <c r="E679" s="88"/>
      <c r="F679" s="10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>
      <c r="A680" s="111"/>
      <c r="B680" s="88"/>
      <c r="C680" s="88"/>
      <c r="D680" s="88"/>
      <c r="E680" s="88"/>
      <c r="F680" s="10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>
      <c r="A681" s="111"/>
      <c r="B681" s="88"/>
      <c r="C681" s="88"/>
      <c r="D681" s="88"/>
      <c r="E681" s="88"/>
      <c r="F681" s="10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>
      <c r="A682" s="111"/>
      <c r="B682" s="88"/>
      <c r="C682" s="88"/>
      <c r="D682" s="88"/>
      <c r="E682" s="88"/>
      <c r="F682" s="10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>
      <c r="A683" s="111"/>
      <c r="B683" s="88"/>
      <c r="C683" s="88"/>
      <c r="D683" s="88"/>
      <c r="E683" s="88"/>
      <c r="F683" s="10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>
      <c r="A684" s="111"/>
      <c r="B684" s="88"/>
      <c r="C684" s="88"/>
      <c r="D684" s="88"/>
      <c r="E684" s="88"/>
      <c r="F684" s="10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>
      <c r="A685" s="111"/>
      <c r="B685" s="88"/>
      <c r="C685" s="88"/>
      <c r="D685" s="88"/>
      <c r="E685" s="88"/>
      <c r="F685" s="10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>
      <c r="A686" s="111"/>
      <c r="B686" s="88"/>
      <c r="C686" s="88"/>
      <c r="D686" s="88"/>
      <c r="E686" s="88"/>
      <c r="F686" s="10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>
      <c r="A687" s="111"/>
      <c r="B687" s="88"/>
      <c r="C687" s="88"/>
      <c r="D687" s="88"/>
      <c r="E687" s="88"/>
      <c r="F687" s="10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>
      <c r="A688" s="111"/>
      <c r="B688" s="88"/>
      <c r="C688" s="88"/>
      <c r="D688" s="88"/>
      <c r="E688" s="88"/>
      <c r="F688" s="10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>
      <c r="A689" s="111"/>
      <c r="B689" s="88"/>
      <c r="C689" s="88"/>
      <c r="D689" s="88"/>
      <c r="E689" s="88"/>
      <c r="F689" s="10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>
      <c r="A690" s="111"/>
      <c r="B690" s="88"/>
      <c r="C690" s="88"/>
      <c r="D690" s="88"/>
      <c r="E690" s="88"/>
      <c r="F690" s="10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>
      <c r="A691" s="111"/>
      <c r="B691" s="88"/>
      <c r="C691" s="88"/>
      <c r="D691" s="88"/>
      <c r="E691" s="88"/>
      <c r="F691" s="10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>
      <c r="A692" s="111"/>
      <c r="B692" s="88"/>
      <c r="C692" s="88"/>
      <c r="D692" s="88"/>
      <c r="E692" s="88"/>
      <c r="F692" s="10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>
      <c r="A693" s="111"/>
      <c r="B693" s="88"/>
      <c r="C693" s="88"/>
      <c r="D693" s="88"/>
      <c r="E693" s="88"/>
      <c r="F693" s="10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>
      <c r="A694" s="111"/>
      <c r="B694" s="88"/>
      <c r="C694" s="88"/>
      <c r="D694" s="88"/>
      <c r="E694" s="88"/>
      <c r="F694" s="10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>
      <c r="A695" s="111"/>
      <c r="B695" s="88"/>
      <c r="C695" s="88"/>
      <c r="D695" s="88"/>
      <c r="E695" s="88"/>
      <c r="F695" s="10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>
      <c r="A696" s="111"/>
      <c r="B696" s="88"/>
      <c r="C696" s="88"/>
      <c r="D696" s="88"/>
      <c r="E696" s="88"/>
      <c r="F696" s="10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>
      <c r="A697" s="111"/>
      <c r="B697" s="88"/>
      <c r="C697" s="88"/>
      <c r="D697" s="88"/>
      <c r="E697" s="88"/>
      <c r="F697" s="10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>
      <c r="A698" s="111"/>
      <c r="B698" s="88"/>
      <c r="C698" s="88"/>
      <c r="D698" s="88"/>
      <c r="E698" s="88"/>
      <c r="F698" s="10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>
      <c r="A699" s="111"/>
      <c r="B699" s="88"/>
      <c r="C699" s="88"/>
      <c r="D699" s="88"/>
      <c r="E699" s="88"/>
      <c r="F699" s="10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>
      <c r="A700" s="111"/>
      <c r="B700" s="88"/>
      <c r="C700" s="88"/>
      <c r="D700" s="88"/>
      <c r="E700" s="88"/>
      <c r="F700" s="10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>
      <c r="A701" s="111"/>
      <c r="B701" s="88"/>
      <c r="C701" s="88"/>
      <c r="D701" s="88"/>
      <c r="E701" s="88"/>
      <c r="F701" s="10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>
      <c r="A702" s="111"/>
      <c r="B702" s="88"/>
      <c r="C702" s="88"/>
      <c r="D702" s="88"/>
      <c r="E702" s="88"/>
      <c r="F702" s="10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>
      <c r="A703" s="111"/>
      <c r="B703" s="88"/>
      <c r="C703" s="88"/>
      <c r="D703" s="88"/>
      <c r="E703" s="88"/>
      <c r="F703" s="10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>
      <c r="A704" s="111"/>
      <c r="B704" s="88"/>
      <c r="C704" s="88"/>
      <c r="D704" s="88"/>
      <c r="E704" s="88"/>
      <c r="F704" s="10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>
      <c r="A705" s="111"/>
      <c r="B705" s="88"/>
      <c r="C705" s="88"/>
      <c r="D705" s="88"/>
      <c r="E705" s="88"/>
      <c r="F705" s="10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>
      <c r="A706" s="111"/>
      <c r="B706" s="88"/>
      <c r="C706" s="88"/>
      <c r="D706" s="88"/>
      <c r="E706" s="88"/>
      <c r="F706" s="10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>
      <c r="A707" s="111"/>
      <c r="B707" s="88"/>
      <c r="C707" s="88"/>
      <c r="D707" s="88"/>
      <c r="E707" s="88"/>
      <c r="F707" s="10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>
      <c r="A708" s="111"/>
      <c r="B708" s="88"/>
      <c r="C708" s="88"/>
      <c r="D708" s="88"/>
      <c r="E708" s="88"/>
      <c r="F708" s="10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>
      <c r="A709" s="111"/>
      <c r="B709" s="88"/>
      <c r="C709" s="88"/>
      <c r="D709" s="88"/>
      <c r="E709" s="88"/>
      <c r="F709" s="10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>
      <c r="A710" s="111"/>
      <c r="B710" s="88"/>
      <c r="C710" s="88"/>
      <c r="D710" s="88"/>
      <c r="E710" s="88"/>
      <c r="F710" s="10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>
      <c r="A711" s="111"/>
      <c r="B711" s="88"/>
      <c r="C711" s="88"/>
      <c r="D711" s="88"/>
      <c r="E711" s="88"/>
      <c r="F711" s="10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>
      <c r="A712" s="111"/>
      <c r="B712" s="88"/>
      <c r="C712" s="88"/>
      <c r="D712" s="88"/>
      <c r="E712" s="88"/>
      <c r="F712" s="10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>
      <c r="A713" s="111"/>
      <c r="B713" s="88"/>
      <c r="C713" s="88"/>
      <c r="D713" s="88"/>
      <c r="E713" s="88"/>
      <c r="F713" s="10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>
      <c r="A714" s="111"/>
      <c r="B714" s="88"/>
      <c r="C714" s="88"/>
      <c r="D714" s="88"/>
      <c r="E714" s="88"/>
      <c r="F714" s="10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>
      <c r="A715" s="111"/>
      <c r="B715" s="88"/>
      <c r="C715" s="88"/>
      <c r="D715" s="88"/>
      <c r="E715" s="88"/>
      <c r="F715" s="10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>
      <c r="A716" s="111"/>
      <c r="B716" s="88"/>
      <c r="C716" s="88"/>
      <c r="D716" s="88"/>
      <c r="E716" s="88"/>
      <c r="F716" s="10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>
      <c r="A717" s="111"/>
      <c r="B717" s="88"/>
      <c r="C717" s="88"/>
      <c r="D717" s="88"/>
      <c r="E717" s="88"/>
      <c r="F717" s="10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>
      <c r="A718" s="111"/>
      <c r="B718" s="88"/>
      <c r="C718" s="88"/>
      <c r="D718" s="88"/>
      <c r="E718" s="88"/>
      <c r="F718" s="10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>
      <c r="A719" s="111"/>
      <c r="B719" s="88"/>
      <c r="C719" s="88"/>
      <c r="D719" s="88"/>
      <c r="E719" s="88"/>
      <c r="F719" s="10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>
      <c r="A720" s="111"/>
      <c r="B720" s="88"/>
      <c r="C720" s="88"/>
      <c r="D720" s="88"/>
      <c r="E720" s="88"/>
      <c r="F720" s="10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>
      <c r="A721" s="111"/>
      <c r="B721" s="88"/>
      <c r="C721" s="88"/>
      <c r="D721" s="88"/>
      <c r="E721" s="88"/>
      <c r="F721" s="10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>
      <c r="A722" s="111"/>
      <c r="B722" s="88"/>
      <c r="C722" s="88"/>
      <c r="D722" s="88"/>
      <c r="E722" s="88"/>
      <c r="F722" s="10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>
      <c r="A723" s="111"/>
      <c r="B723" s="88"/>
      <c r="C723" s="88"/>
      <c r="D723" s="88"/>
      <c r="E723" s="88"/>
      <c r="F723" s="10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>
      <c r="A724" s="111"/>
      <c r="B724" s="88"/>
      <c r="C724" s="88"/>
      <c r="D724" s="88"/>
      <c r="E724" s="88"/>
      <c r="F724" s="10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>
      <c r="A725" s="111"/>
      <c r="B725" s="88"/>
      <c r="C725" s="88"/>
      <c r="D725" s="88"/>
      <c r="E725" s="88"/>
      <c r="F725" s="10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>
      <c r="A726" s="111"/>
      <c r="B726" s="88"/>
      <c r="C726" s="88"/>
      <c r="D726" s="88"/>
      <c r="E726" s="88"/>
      <c r="F726" s="10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>
      <c r="A727" s="111"/>
      <c r="B727" s="88"/>
      <c r="C727" s="88"/>
      <c r="D727" s="88"/>
      <c r="E727" s="88"/>
      <c r="F727" s="10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>
      <c r="A728" s="111"/>
      <c r="B728" s="88"/>
      <c r="C728" s="88"/>
      <c r="D728" s="88"/>
      <c r="E728" s="88"/>
      <c r="F728" s="10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>
      <c r="A729" s="111"/>
      <c r="B729" s="88"/>
      <c r="C729" s="88"/>
      <c r="D729" s="88"/>
      <c r="E729" s="88"/>
      <c r="F729" s="10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>
      <c r="A730" s="111"/>
      <c r="B730" s="88"/>
      <c r="C730" s="88"/>
      <c r="D730" s="88"/>
      <c r="E730" s="88"/>
      <c r="F730" s="10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>
      <c r="A731" s="111"/>
      <c r="B731" s="88"/>
      <c r="C731" s="88"/>
      <c r="D731" s="88"/>
      <c r="E731" s="88"/>
      <c r="F731" s="10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>
      <c r="A732" s="111"/>
      <c r="B732" s="88"/>
      <c r="C732" s="88"/>
      <c r="D732" s="88"/>
      <c r="E732" s="88"/>
      <c r="F732" s="10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>
      <c r="A733" s="111"/>
      <c r="B733" s="88"/>
      <c r="C733" s="88"/>
      <c r="D733" s="88"/>
      <c r="E733" s="88"/>
      <c r="F733" s="10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>
      <c r="A734" s="111"/>
      <c r="B734" s="88"/>
      <c r="C734" s="88"/>
      <c r="D734" s="88"/>
      <c r="E734" s="88"/>
      <c r="F734" s="10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>
      <c r="A735" s="111"/>
      <c r="B735" s="88"/>
      <c r="C735" s="88"/>
      <c r="D735" s="88"/>
      <c r="E735" s="88"/>
      <c r="F735" s="10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>
      <c r="A736" s="111"/>
      <c r="B736" s="88"/>
      <c r="C736" s="88"/>
      <c r="D736" s="88"/>
      <c r="E736" s="88"/>
      <c r="F736" s="10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>
      <c r="A737" s="111"/>
      <c r="B737" s="88"/>
      <c r="C737" s="88"/>
      <c r="D737" s="88"/>
      <c r="E737" s="88"/>
      <c r="F737" s="10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>
      <c r="A738" s="111"/>
      <c r="B738" s="88"/>
      <c r="C738" s="88"/>
      <c r="D738" s="88"/>
      <c r="E738" s="88"/>
      <c r="F738" s="10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>
      <c r="A739" s="111"/>
      <c r="B739" s="88"/>
      <c r="C739" s="88"/>
      <c r="D739" s="88"/>
      <c r="E739" s="88"/>
      <c r="F739" s="10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>
      <c r="A740" s="111"/>
      <c r="B740" s="88"/>
      <c r="C740" s="88"/>
      <c r="D740" s="88"/>
      <c r="E740" s="88"/>
      <c r="F740" s="10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>
      <c r="A741" s="111"/>
      <c r="B741" s="88"/>
      <c r="C741" s="88"/>
      <c r="D741" s="88"/>
      <c r="E741" s="88"/>
      <c r="F741" s="10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>
      <c r="A742" s="111"/>
      <c r="B742" s="88"/>
      <c r="C742" s="88"/>
      <c r="D742" s="88"/>
      <c r="E742" s="88"/>
      <c r="F742" s="10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>
      <c r="A743" s="111"/>
      <c r="B743" s="88"/>
      <c r="C743" s="88"/>
      <c r="D743" s="88"/>
      <c r="E743" s="88"/>
      <c r="F743" s="10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>
      <c r="A744" s="111"/>
      <c r="B744" s="88"/>
      <c r="C744" s="88"/>
      <c r="D744" s="88"/>
      <c r="E744" s="88"/>
      <c r="F744" s="10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>
      <c r="A745" s="111"/>
      <c r="B745" s="88"/>
      <c r="C745" s="88"/>
      <c r="D745" s="88"/>
      <c r="E745" s="88"/>
      <c r="F745" s="10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>
      <c r="A746" s="111"/>
      <c r="B746" s="88"/>
      <c r="C746" s="88"/>
      <c r="D746" s="88"/>
      <c r="E746" s="88"/>
      <c r="F746" s="10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>
      <c r="A747" s="111"/>
      <c r="B747" s="88"/>
      <c r="C747" s="88"/>
      <c r="D747" s="88"/>
      <c r="E747" s="88"/>
      <c r="F747" s="10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>
      <c r="A748" s="111"/>
      <c r="B748" s="88"/>
      <c r="C748" s="88"/>
      <c r="D748" s="88"/>
      <c r="E748" s="88"/>
      <c r="F748" s="10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>
      <c r="A749" s="111"/>
      <c r="B749" s="88"/>
      <c r="C749" s="88"/>
      <c r="D749" s="88"/>
      <c r="E749" s="88"/>
      <c r="F749" s="10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>
      <c r="A750" s="111"/>
      <c r="B750" s="88"/>
      <c r="C750" s="88"/>
      <c r="D750" s="88"/>
      <c r="E750" s="88"/>
      <c r="F750" s="10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>
      <c r="A751" s="111"/>
      <c r="B751" s="88"/>
      <c r="C751" s="88"/>
      <c r="D751" s="88"/>
      <c r="E751" s="88"/>
      <c r="F751" s="10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>
      <c r="A752" s="111"/>
      <c r="B752" s="88"/>
      <c r="C752" s="88"/>
      <c r="D752" s="88"/>
      <c r="E752" s="88"/>
      <c r="F752" s="10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>
      <c r="A753" s="111"/>
      <c r="B753" s="88"/>
      <c r="C753" s="88"/>
      <c r="D753" s="88"/>
      <c r="E753" s="88"/>
      <c r="F753" s="10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>
      <c r="A754" s="111"/>
      <c r="B754" s="88"/>
      <c r="C754" s="88"/>
      <c r="D754" s="88"/>
      <c r="E754" s="88"/>
      <c r="F754" s="10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>
      <c r="A755" s="111"/>
      <c r="B755" s="88"/>
      <c r="C755" s="88"/>
      <c r="D755" s="88"/>
      <c r="E755" s="88"/>
      <c r="F755" s="10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>
      <c r="A756" s="111"/>
      <c r="B756" s="88"/>
      <c r="C756" s="88"/>
      <c r="D756" s="88"/>
      <c r="E756" s="88"/>
      <c r="F756" s="10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>
      <c r="A757" s="111"/>
      <c r="B757" s="88"/>
      <c r="C757" s="88"/>
      <c r="D757" s="88"/>
      <c r="E757" s="88"/>
      <c r="F757" s="10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>
      <c r="A758" s="111"/>
      <c r="B758" s="88"/>
      <c r="C758" s="88"/>
      <c r="D758" s="88"/>
      <c r="E758" s="88"/>
      <c r="F758" s="10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>
      <c r="A759" s="111"/>
      <c r="B759" s="88"/>
      <c r="C759" s="88"/>
      <c r="D759" s="88"/>
      <c r="E759" s="88"/>
      <c r="F759" s="10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>
      <c r="A760" s="111"/>
      <c r="B760" s="88"/>
      <c r="C760" s="88"/>
      <c r="D760" s="88"/>
      <c r="E760" s="88"/>
      <c r="F760" s="10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>
      <c r="A761" s="111"/>
      <c r="B761" s="88"/>
      <c r="C761" s="88"/>
      <c r="D761" s="88"/>
      <c r="E761" s="88"/>
      <c r="F761" s="10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>
      <c r="A762" s="111"/>
      <c r="B762" s="88"/>
      <c r="C762" s="88"/>
      <c r="D762" s="88"/>
      <c r="E762" s="88"/>
      <c r="F762" s="10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>
      <c r="A763" s="111"/>
      <c r="B763" s="88"/>
      <c r="C763" s="88"/>
      <c r="D763" s="88"/>
      <c r="E763" s="88"/>
      <c r="F763" s="10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>
      <c r="A764" s="111"/>
      <c r="B764" s="88"/>
      <c r="C764" s="88"/>
      <c r="D764" s="88"/>
      <c r="E764" s="88"/>
      <c r="F764" s="10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>
      <c r="A765" s="111"/>
      <c r="B765" s="88"/>
      <c r="C765" s="88"/>
      <c r="D765" s="88"/>
      <c r="E765" s="88"/>
      <c r="F765" s="10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>
      <c r="A766" s="111"/>
      <c r="B766" s="88"/>
      <c r="C766" s="88"/>
      <c r="D766" s="88"/>
      <c r="E766" s="88"/>
      <c r="F766" s="10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>
      <c r="A767" s="111"/>
      <c r="B767" s="88"/>
      <c r="C767" s="88"/>
      <c r="D767" s="88"/>
      <c r="E767" s="88"/>
      <c r="F767" s="10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>
      <c r="A768" s="111"/>
      <c r="B768" s="88"/>
      <c r="C768" s="88"/>
      <c r="D768" s="88"/>
      <c r="E768" s="88"/>
      <c r="F768" s="10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>
      <c r="A769" s="111"/>
      <c r="B769" s="88"/>
      <c r="C769" s="88"/>
      <c r="D769" s="88"/>
      <c r="E769" s="88"/>
      <c r="F769" s="10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>
      <c r="A770" s="111"/>
      <c r="B770" s="88"/>
      <c r="C770" s="88"/>
      <c r="D770" s="88"/>
      <c r="E770" s="88"/>
      <c r="F770" s="10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>
      <c r="A771" s="111"/>
      <c r="B771" s="88"/>
      <c r="C771" s="88"/>
      <c r="D771" s="88"/>
      <c r="E771" s="88"/>
      <c r="F771" s="10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>
      <c r="A772" s="111"/>
      <c r="B772" s="88"/>
      <c r="C772" s="88"/>
      <c r="D772" s="88"/>
      <c r="E772" s="88"/>
      <c r="F772" s="10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>
      <c r="A773" s="111"/>
      <c r="B773" s="88"/>
      <c r="C773" s="88"/>
      <c r="D773" s="88"/>
      <c r="E773" s="88"/>
      <c r="F773" s="10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>
      <c r="A774" s="111"/>
      <c r="B774" s="88"/>
      <c r="C774" s="88"/>
      <c r="D774" s="88"/>
      <c r="E774" s="88"/>
      <c r="F774" s="10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>
      <c r="A775" s="111"/>
      <c r="B775" s="88"/>
      <c r="C775" s="88"/>
      <c r="D775" s="88"/>
      <c r="E775" s="88"/>
      <c r="F775" s="10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>
      <c r="A776" s="111"/>
      <c r="B776" s="88"/>
      <c r="C776" s="88"/>
      <c r="D776" s="88"/>
      <c r="E776" s="88"/>
      <c r="F776" s="10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>
      <c r="A777" s="111"/>
      <c r="B777" s="88"/>
      <c r="C777" s="88"/>
      <c r="D777" s="88"/>
      <c r="E777" s="88"/>
      <c r="F777" s="10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>
      <c r="A778" s="111"/>
      <c r="B778" s="88"/>
      <c r="C778" s="88"/>
      <c r="D778" s="88"/>
      <c r="E778" s="88"/>
      <c r="F778" s="10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>
      <c r="A779" s="111"/>
      <c r="B779" s="88"/>
      <c r="C779" s="88"/>
      <c r="D779" s="88"/>
      <c r="E779" s="88"/>
      <c r="F779" s="10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>
      <c r="A780" s="111"/>
      <c r="B780" s="88"/>
      <c r="C780" s="88"/>
      <c r="D780" s="88"/>
      <c r="E780" s="88"/>
      <c r="F780" s="10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>
      <c r="A781" s="111"/>
      <c r="B781" s="88"/>
      <c r="C781" s="88"/>
      <c r="D781" s="88"/>
      <c r="E781" s="88"/>
      <c r="F781" s="10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>
      <c r="A782" s="111"/>
      <c r="B782" s="88"/>
      <c r="C782" s="88"/>
      <c r="D782" s="88"/>
      <c r="E782" s="88"/>
      <c r="F782" s="10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>
      <c r="A783" s="111"/>
      <c r="B783" s="88"/>
      <c r="C783" s="88"/>
      <c r="D783" s="88"/>
      <c r="E783" s="88"/>
      <c r="F783" s="10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>
      <c r="A784" s="111"/>
      <c r="B784" s="88"/>
      <c r="C784" s="88"/>
      <c r="D784" s="88"/>
      <c r="E784" s="88"/>
      <c r="F784" s="10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>
      <c r="A785" s="111"/>
      <c r="B785" s="88"/>
      <c r="C785" s="88"/>
      <c r="D785" s="88"/>
      <c r="E785" s="88"/>
      <c r="F785" s="10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>
      <c r="A786" s="111"/>
      <c r="B786" s="88"/>
      <c r="C786" s="88"/>
      <c r="D786" s="88"/>
      <c r="E786" s="88"/>
      <c r="F786" s="10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>
      <c r="A787" s="111"/>
      <c r="B787" s="88"/>
      <c r="C787" s="88"/>
      <c r="D787" s="88"/>
      <c r="E787" s="88"/>
      <c r="F787" s="10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>
      <c r="A788" s="111"/>
      <c r="B788" s="88"/>
      <c r="C788" s="88"/>
      <c r="D788" s="88"/>
      <c r="E788" s="88"/>
      <c r="F788" s="10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>
      <c r="A789" s="111"/>
      <c r="B789" s="88"/>
      <c r="C789" s="88"/>
      <c r="D789" s="88"/>
      <c r="E789" s="88"/>
      <c r="F789" s="10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>
      <c r="A790" s="111"/>
      <c r="B790" s="88"/>
      <c r="C790" s="88"/>
      <c r="D790" s="88"/>
      <c r="E790" s="88"/>
      <c r="F790" s="10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>
      <c r="A791" s="111"/>
      <c r="B791" s="88"/>
      <c r="C791" s="88"/>
      <c r="D791" s="88"/>
      <c r="E791" s="88"/>
      <c r="F791" s="10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>
      <c r="A792" s="111"/>
      <c r="B792" s="88"/>
      <c r="C792" s="88"/>
      <c r="D792" s="88"/>
      <c r="E792" s="88"/>
      <c r="F792" s="10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>
      <c r="A793" s="111"/>
      <c r="B793" s="88"/>
      <c r="C793" s="88"/>
      <c r="D793" s="88"/>
      <c r="E793" s="88"/>
      <c r="F793" s="10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>
      <c r="A794" s="111"/>
      <c r="B794" s="88"/>
      <c r="C794" s="88"/>
      <c r="D794" s="88"/>
      <c r="E794" s="88"/>
      <c r="F794" s="10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>
      <c r="A795" s="111"/>
      <c r="B795" s="88"/>
      <c r="C795" s="88"/>
      <c r="D795" s="88"/>
      <c r="E795" s="88"/>
      <c r="F795" s="10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>
      <c r="A796" s="111"/>
      <c r="B796" s="88"/>
      <c r="C796" s="88"/>
      <c r="D796" s="88"/>
      <c r="E796" s="88"/>
      <c r="F796" s="10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>
      <c r="A797" s="111"/>
      <c r="B797" s="88"/>
      <c r="C797" s="88"/>
      <c r="D797" s="88"/>
      <c r="E797" s="88"/>
      <c r="F797" s="10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>
      <c r="A798" s="111"/>
      <c r="B798" s="88"/>
      <c r="C798" s="88"/>
      <c r="D798" s="88"/>
      <c r="E798" s="88"/>
      <c r="F798" s="10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>
      <c r="A799" s="111"/>
      <c r="B799" s="88"/>
      <c r="C799" s="88"/>
      <c r="D799" s="88"/>
      <c r="E799" s="88"/>
      <c r="F799" s="10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>
      <c r="A800" s="111"/>
      <c r="B800" s="88"/>
      <c r="C800" s="88"/>
      <c r="D800" s="88"/>
      <c r="E800" s="88"/>
      <c r="F800" s="10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>
      <c r="A801" s="111"/>
      <c r="B801" s="88"/>
      <c r="C801" s="88"/>
      <c r="D801" s="88"/>
      <c r="E801" s="88"/>
      <c r="F801" s="10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>
      <c r="A802" s="111"/>
      <c r="B802" s="88"/>
      <c r="C802" s="88"/>
      <c r="D802" s="88"/>
      <c r="E802" s="88"/>
      <c r="F802" s="10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>
      <c r="A803" s="111"/>
      <c r="B803" s="88"/>
      <c r="C803" s="88"/>
      <c r="D803" s="88"/>
      <c r="E803" s="88"/>
      <c r="F803" s="10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>
      <c r="A804" s="111"/>
      <c r="B804" s="88"/>
      <c r="C804" s="88"/>
      <c r="D804" s="88"/>
      <c r="E804" s="88"/>
      <c r="F804" s="10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>
      <c r="A805" s="111"/>
      <c r="B805" s="88"/>
      <c r="C805" s="88"/>
      <c r="D805" s="88"/>
      <c r="E805" s="88"/>
      <c r="F805" s="10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>
      <c r="A806" s="111"/>
      <c r="B806" s="88"/>
      <c r="C806" s="88"/>
      <c r="D806" s="88"/>
      <c r="E806" s="88"/>
      <c r="F806" s="10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>
      <c r="A807" s="111"/>
      <c r="B807" s="88"/>
      <c r="C807" s="88"/>
      <c r="D807" s="88"/>
      <c r="E807" s="88"/>
      <c r="F807" s="10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>
      <c r="A808" s="111"/>
      <c r="B808" s="88"/>
      <c r="C808" s="88"/>
      <c r="D808" s="88"/>
      <c r="E808" s="88"/>
      <c r="F808" s="10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>
      <c r="A809" s="111"/>
      <c r="B809" s="88"/>
      <c r="C809" s="88"/>
      <c r="D809" s="88"/>
      <c r="E809" s="88"/>
      <c r="F809" s="10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>
      <c r="A810" s="111"/>
      <c r="B810" s="88"/>
      <c r="C810" s="88"/>
      <c r="D810" s="88"/>
      <c r="E810" s="88"/>
      <c r="F810" s="10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>
      <c r="A811" s="111"/>
      <c r="B811" s="88"/>
      <c r="C811" s="88"/>
      <c r="D811" s="88"/>
      <c r="E811" s="88"/>
      <c r="F811" s="10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>
      <c r="A812" s="111"/>
      <c r="B812" s="88"/>
      <c r="C812" s="88"/>
      <c r="D812" s="88"/>
      <c r="E812" s="88"/>
      <c r="F812" s="10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>
      <c r="A813" s="111"/>
      <c r="B813" s="88"/>
      <c r="C813" s="88"/>
      <c r="D813" s="88"/>
      <c r="E813" s="88"/>
      <c r="F813" s="10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>
      <c r="A814" s="111"/>
      <c r="B814" s="88"/>
      <c r="C814" s="88"/>
      <c r="D814" s="88"/>
      <c r="E814" s="88"/>
      <c r="F814" s="10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>
      <c r="A815" s="111"/>
      <c r="B815" s="88"/>
      <c r="C815" s="88"/>
      <c r="D815" s="88"/>
      <c r="E815" s="88"/>
      <c r="F815" s="10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>
      <c r="A816" s="111"/>
      <c r="B816" s="88"/>
      <c r="C816" s="88"/>
      <c r="D816" s="88"/>
      <c r="E816" s="88"/>
      <c r="F816" s="10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>
      <c r="A817" s="111"/>
      <c r="B817" s="88"/>
      <c r="C817" s="88"/>
      <c r="D817" s="88"/>
      <c r="E817" s="88"/>
      <c r="F817" s="10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>
      <c r="A818" s="111"/>
      <c r="B818" s="88"/>
      <c r="C818" s="88"/>
      <c r="D818" s="88"/>
      <c r="E818" s="88"/>
      <c r="F818" s="10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>
      <c r="A819" s="111"/>
      <c r="B819" s="88"/>
      <c r="C819" s="88"/>
      <c r="D819" s="88"/>
      <c r="E819" s="88"/>
      <c r="F819" s="10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>
      <c r="A820" s="111"/>
      <c r="B820" s="88"/>
      <c r="C820" s="88"/>
      <c r="D820" s="88"/>
      <c r="E820" s="88"/>
      <c r="F820" s="10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>
      <c r="A821" s="111"/>
      <c r="B821" s="88"/>
      <c r="C821" s="88"/>
      <c r="D821" s="88"/>
      <c r="E821" s="88"/>
      <c r="F821" s="10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>
      <c r="A822" s="111"/>
      <c r="B822" s="88"/>
      <c r="C822" s="88"/>
      <c r="D822" s="88"/>
      <c r="E822" s="88"/>
      <c r="F822" s="10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>
      <c r="A823" s="111"/>
      <c r="B823" s="88"/>
      <c r="C823" s="88"/>
      <c r="D823" s="88"/>
      <c r="E823" s="88"/>
      <c r="F823" s="10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>
      <c r="A824" s="111"/>
      <c r="B824" s="88"/>
      <c r="C824" s="88"/>
      <c r="D824" s="88"/>
      <c r="E824" s="88"/>
      <c r="F824" s="10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>
      <c r="A825" s="111"/>
      <c r="B825" s="88"/>
      <c r="C825" s="88"/>
      <c r="D825" s="88"/>
      <c r="E825" s="88"/>
      <c r="F825" s="10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>
      <c r="A826" s="111"/>
      <c r="B826" s="88"/>
      <c r="C826" s="88"/>
      <c r="D826" s="88"/>
      <c r="E826" s="88"/>
      <c r="F826" s="10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>
      <c r="A827" s="111"/>
      <c r="B827" s="88"/>
      <c r="C827" s="88"/>
      <c r="D827" s="88"/>
      <c r="E827" s="88"/>
      <c r="F827" s="10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>
      <c r="A828" s="111"/>
      <c r="B828" s="88"/>
      <c r="C828" s="88"/>
      <c r="D828" s="88"/>
      <c r="E828" s="88"/>
      <c r="F828" s="10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>
      <c r="A829" s="111"/>
      <c r="B829" s="88"/>
      <c r="C829" s="88"/>
      <c r="D829" s="88"/>
      <c r="E829" s="88"/>
      <c r="F829" s="10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>
      <c r="A830" s="111"/>
      <c r="B830" s="88"/>
      <c r="C830" s="88"/>
      <c r="D830" s="88"/>
      <c r="E830" s="88"/>
      <c r="F830" s="10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>
      <c r="A831" s="111"/>
      <c r="B831" s="88"/>
      <c r="C831" s="88"/>
      <c r="D831" s="88"/>
      <c r="E831" s="88"/>
      <c r="F831" s="10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>
      <c r="A832" s="111"/>
      <c r="B832" s="88"/>
      <c r="C832" s="88"/>
      <c r="D832" s="88"/>
      <c r="E832" s="88"/>
      <c r="F832" s="10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>
      <c r="A833" s="111"/>
      <c r="B833" s="88"/>
      <c r="C833" s="88"/>
      <c r="D833" s="88"/>
      <c r="E833" s="88"/>
      <c r="F833" s="10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>
      <c r="A834" s="111"/>
      <c r="B834" s="88"/>
      <c r="C834" s="88"/>
      <c r="D834" s="88"/>
      <c r="E834" s="88"/>
      <c r="F834" s="10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>
      <c r="A835" s="111"/>
      <c r="B835" s="88"/>
      <c r="C835" s="88"/>
      <c r="D835" s="88"/>
      <c r="E835" s="88"/>
      <c r="F835" s="10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>
      <c r="A836" s="111"/>
      <c r="B836" s="88"/>
      <c r="C836" s="88"/>
      <c r="D836" s="88"/>
      <c r="E836" s="88"/>
      <c r="F836" s="10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>
      <c r="A837" s="111"/>
      <c r="B837" s="88"/>
      <c r="C837" s="88"/>
      <c r="D837" s="88"/>
      <c r="E837" s="88"/>
      <c r="F837" s="10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>
      <c r="A838" s="111"/>
      <c r="B838" s="88"/>
      <c r="C838" s="88"/>
      <c r="D838" s="88"/>
      <c r="E838" s="88"/>
      <c r="F838" s="10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>
      <c r="A839" s="111"/>
      <c r="B839" s="88"/>
      <c r="C839" s="88"/>
      <c r="D839" s="88"/>
      <c r="E839" s="88"/>
      <c r="F839" s="10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>
      <c r="A840" s="111"/>
      <c r="B840" s="88"/>
      <c r="C840" s="88"/>
      <c r="D840" s="88"/>
      <c r="E840" s="88"/>
      <c r="F840" s="10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>
      <c r="A841" s="111"/>
      <c r="B841" s="88"/>
      <c r="C841" s="88"/>
      <c r="D841" s="88"/>
      <c r="E841" s="88"/>
      <c r="F841" s="10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>
      <c r="A842" s="111"/>
      <c r="B842" s="88"/>
      <c r="C842" s="88"/>
      <c r="D842" s="88"/>
      <c r="E842" s="88"/>
      <c r="F842" s="10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>
      <c r="A843" s="111"/>
      <c r="B843" s="88"/>
      <c r="C843" s="88"/>
      <c r="D843" s="88"/>
      <c r="E843" s="88"/>
      <c r="F843" s="10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>
      <c r="A844" s="111"/>
      <c r="B844" s="88"/>
      <c r="C844" s="88"/>
      <c r="D844" s="88"/>
      <c r="E844" s="88"/>
      <c r="F844" s="10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>
      <c r="A845" s="111"/>
      <c r="B845" s="88"/>
      <c r="C845" s="88"/>
      <c r="D845" s="88"/>
      <c r="E845" s="88"/>
      <c r="F845" s="10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>
      <c r="A846" s="111"/>
      <c r="B846" s="88"/>
      <c r="C846" s="88"/>
      <c r="D846" s="88"/>
      <c r="E846" s="88"/>
      <c r="F846" s="10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>
      <c r="A847" s="111"/>
      <c r="B847" s="88"/>
      <c r="C847" s="88"/>
      <c r="D847" s="88"/>
      <c r="E847" s="88"/>
      <c r="F847" s="10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>
      <c r="A848" s="111"/>
      <c r="B848" s="88"/>
      <c r="C848" s="88"/>
      <c r="D848" s="88"/>
      <c r="E848" s="88"/>
      <c r="F848" s="10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>
      <c r="A849" s="111"/>
      <c r="B849" s="88"/>
      <c r="C849" s="88"/>
      <c r="D849" s="88"/>
      <c r="E849" s="88"/>
      <c r="F849" s="10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>
      <c r="A850" s="111"/>
      <c r="B850" s="88"/>
      <c r="C850" s="88"/>
      <c r="D850" s="88"/>
      <c r="E850" s="88"/>
      <c r="F850" s="10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>
      <c r="A851" s="111"/>
      <c r="B851" s="88"/>
      <c r="C851" s="88"/>
      <c r="D851" s="88"/>
      <c r="E851" s="88"/>
      <c r="F851" s="10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>
      <c r="A852" s="111"/>
      <c r="B852" s="88"/>
      <c r="C852" s="88"/>
      <c r="D852" s="88"/>
      <c r="E852" s="88"/>
      <c r="F852" s="10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>
      <c r="A853" s="111"/>
      <c r="B853" s="88"/>
      <c r="C853" s="88"/>
      <c r="D853" s="88"/>
      <c r="E853" s="88"/>
      <c r="F853" s="10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>
      <c r="A854" s="111"/>
      <c r="B854" s="88"/>
      <c r="C854" s="88"/>
      <c r="D854" s="88"/>
      <c r="E854" s="88"/>
      <c r="F854" s="10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>
      <c r="A855" s="111"/>
      <c r="B855" s="88"/>
      <c r="C855" s="88"/>
      <c r="D855" s="88"/>
      <c r="E855" s="88"/>
      <c r="F855" s="10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>
      <c r="A856" s="111"/>
      <c r="B856" s="88"/>
      <c r="C856" s="88"/>
      <c r="D856" s="88"/>
      <c r="E856" s="88"/>
      <c r="F856" s="10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>
      <c r="A857" s="111"/>
      <c r="B857" s="88"/>
      <c r="C857" s="88"/>
      <c r="D857" s="88"/>
      <c r="E857" s="88"/>
      <c r="F857" s="10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>
      <c r="A858" s="111"/>
      <c r="B858" s="88"/>
      <c r="C858" s="88"/>
      <c r="D858" s="88"/>
      <c r="E858" s="88"/>
      <c r="F858" s="10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>
      <c r="A859" s="111"/>
      <c r="B859" s="88"/>
      <c r="C859" s="88"/>
      <c r="D859" s="88"/>
      <c r="E859" s="88"/>
      <c r="F859" s="10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>
      <c r="A860" s="111"/>
      <c r="B860" s="88"/>
      <c r="C860" s="88"/>
      <c r="D860" s="88"/>
      <c r="E860" s="88"/>
      <c r="F860" s="10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>
      <c r="A861" s="111"/>
      <c r="B861" s="88"/>
      <c r="C861" s="88"/>
      <c r="D861" s="88"/>
      <c r="E861" s="88"/>
      <c r="F861" s="10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>
      <c r="A862" s="111"/>
      <c r="B862" s="88"/>
      <c r="C862" s="88"/>
      <c r="D862" s="88"/>
      <c r="E862" s="88"/>
      <c r="F862" s="10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>
      <c r="A863" s="111"/>
      <c r="B863" s="88"/>
      <c r="C863" s="88"/>
      <c r="D863" s="88"/>
      <c r="E863" s="88"/>
      <c r="F863" s="10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>
      <c r="A864" s="111"/>
      <c r="B864" s="88"/>
      <c r="C864" s="88"/>
      <c r="D864" s="88"/>
      <c r="E864" s="88"/>
      <c r="F864" s="10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>
      <c r="A865" s="111"/>
      <c r="B865" s="88"/>
      <c r="C865" s="88"/>
      <c r="D865" s="88"/>
      <c r="E865" s="88"/>
      <c r="F865" s="10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>
      <c r="A866" s="111"/>
      <c r="B866" s="88"/>
      <c r="C866" s="88"/>
      <c r="D866" s="88"/>
      <c r="E866" s="88"/>
      <c r="F866" s="10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>
      <c r="A867" s="111"/>
      <c r="B867" s="88"/>
      <c r="C867" s="88"/>
      <c r="D867" s="88"/>
      <c r="E867" s="88"/>
      <c r="F867" s="10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>
      <c r="A868" s="111"/>
      <c r="B868" s="88"/>
      <c r="C868" s="88"/>
      <c r="D868" s="88"/>
      <c r="E868" s="88"/>
      <c r="F868" s="10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>
      <c r="A869" s="111"/>
      <c r="B869" s="88"/>
      <c r="C869" s="88"/>
      <c r="D869" s="88"/>
      <c r="E869" s="88"/>
      <c r="F869" s="10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>
      <c r="A870" s="111"/>
      <c r="B870" s="88"/>
      <c r="C870" s="88"/>
      <c r="D870" s="88"/>
      <c r="E870" s="88"/>
      <c r="F870" s="10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>
      <c r="A871" s="111"/>
      <c r="B871" s="88"/>
      <c r="C871" s="88"/>
      <c r="D871" s="88"/>
      <c r="E871" s="88"/>
      <c r="F871" s="10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>
      <c r="A872" s="111"/>
      <c r="B872" s="88"/>
      <c r="C872" s="88"/>
      <c r="D872" s="88"/>
      <c r="E872" s="88"/>
      <c r="F872" s="10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>
      <c r="A873" s="111"/>
      <c r="B873" s="88"/>
      <c r="C873" s="88"/>
      <c r="D873" s="88"/>
      <c r="E873" s="88"/>
      <c r="F873" s="10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>
      <c r="A874" s="111"/>
      <c r="B874" s="88"/>
      <c r="C874" s="88"/>
      <c r="D874" s="88"/>
      <c r="E874" s="88"/>
      <c r="F874" s="10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>
      <c r="A875" s="111"/>
      <c r="B875" s="88"/>
      <c r="C875" s="88"/>
      <c r="D875" s="88"/>
      <c r="E875" s="88"/>
      <c r="F875" s="10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>
      <c r="A876" s="111"/>
      <c r="B876" s="88"/>
      <c r="C876" s="88"/>
      <c r="D876" s="88"/>
      <c r="E876" s="88"/>
      <c r="F876" s="10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>
      <c r="A877" s="111"/>
      <c r="B877" s="88"/>
      <c r="C877" s="88"/>
      <c r="D877" s="88"/>
      <c r="E877" s="88"/>
      <c r="F877" s="10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>
      <c r="A878" s="111"/>
      <c r="B878" s="88"/>
      <c r="C878" s="88"/>
      <c r="D878" s="88"/>
      <c r="E878" s="88"/>
      <c r="F878" s="10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>
      <c r="A879" s="111"/>
      <c r="B879" s="88"/>
      <c r="C879" s="88"/>
      <c r="D879" s="88"/>
      <c r="E879" s="88"/>
      <c r="F879" s="10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>
      <c r="A880" s="111"/>
      <c r="B880" s="88"/>
      <c r="C880" s="88"/>
      <c r="D880" s="88"/>
      <c r="E880" s="88"/>
      <c r="F880" s="10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>
      <c r="A881" s="111"/>
      <c r="B881" s="88"/>
      <c r="C881" s="88"/>
      <c r="D881" s="88"/>
      <c r="E881" s="88"/>
      <c r="F881" s="10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>
      <c r="A882" s="111"/>
      <c r="B882" s="88"/>
      <c r="C882" s="88"/>
      <c r="D882" s="88"/>
      <c r="E882" s="88"/>
      <c r="F882" s="10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>
      <c r="A883" s="111"/>
      <c r="B883" s="88"/>
      <c r="C883" s="88"/>
      <c r="D883" s="88"/>
      <c r="E883" s="88"/>
      <c r="F883" s="10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>
      <c r="A884" s="111"/>
      <c r="B884" s="88"/>
      <c r="C884" s="88"/>
      <c r="D884" s="88"/>
      <c r="E884" s="88"/>
      <c r="F884" s="10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>
      <c r="A885" s="111"/>
      <c r="B885" s="88"/>
      <c r="C885" s="88"/>
      <c r="D885" s="88"/>
      <c r="E885" s="88"/>
      <c r="F885" s="10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>
      <c r="A886" s="111"/>
      <c r="B886" s="88"/>
      <c r="C886" s="88"/>
      <c r="D886" s="88"/>
      <c r="E886" s="88"/>
      <c r="F886" s="10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>
      <c r="A887" s="111"/>
      <c r="B887" s="88"/>
      <c r="C887" s="88"/>
      <c r="D887" s="88"/>
      <c r="E887" s="88"/>
      <c r="F887" s="10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>
      <c r="A888" s="111"/>
      <c r="B888" s="88"/>
      <c r="C888" s="88"/>
      <c r="D888" s="88"/>
      <c r="E888" s="88"/>
      <c r="F888" s="10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>
      <c r="A889" s="111"/>
      <c r="B889" s="88"/>
      <c r="C889" s="88"/>
      <c r="D889" s="88"/>
      <c r="E889" s="88"/>
      <c r="F889" s="10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>
      <c r="A890" s="111"/>
      <c r="B890" s="88"/>
      <c r="C890" s="88"/>
      <c r="D890" s="88"/>
      <c r="E890" s="88"/>
      <c r="F890" s="10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>
      <c r="A891" s="111"/>
      <c r="B891" s="88"/>
      <c r="C891" s="88"/>
      <c r="D891" s="88"/>
      <c r="E891" s="88"/>
      <c r="F891" s="10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>
      <c r="A892" s="111"/>
      <c r="B892" s="88"/>
      <c r="C892" s="88"/>
      <c r="D892" s="88"/>
      <c r="E892" s="88"/>
      <c r="F892" s="10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>
      <c r="A893" s="111"/>
      <c r="B893" s="88"/>
      <c r="C893" s="88"/>
      <c r="D893" s="88"/>
      <c r="E893" s="88"/>
      <c r="F893" s="10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>
      <c r="A894" s="111"/>
      <c r="B894" s="88"/>
      <c r="C894" s="88"/>
      <c r="D894" s="88"/>
      <c r="E894" s="88"/>
      <c r="F894" s="10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>
      <c r="A895" s="111"/>
      <c r="B895" s="88"/>
      <c r="C895" s="88"/>
      <c r="D895" s="88"/>
      <c r="E895" s="88"/>
      <c r="F895" s="10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>
      <c r="A896" s="111"/>
      <c r="B896" s="88"/>
      <c r="C896" s="88"/>
      <c r="D896" s="88"/>
      <c r="E896" s="88"/>
      <c r="F896" s="10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>
      <c r="A897" s="111"/>
      <c r="B897" s="88"/>
      <c r="C897" s="88"/>
      <c r="D897" s="88"/>
      <c r="E897" s="88"/>
      <c r="F897" s="10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>
      <c r="A898" s="111"/>
      <c r="B898" s="88"/>
      <c r="C898" s="88"/>
      <c r="D898" s="88"/>
      <c r="E898" s="88"/>
      <c r="F898" s="10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>
      <c r="A899" s="111"/>
      <c r="B899" s="88"/>
      <c r="C899" s="88"/>
      <c r="D899" s="88"/>
      <c r="E899" s="88"/>
      <c r="F899" s="10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>
      <c r="A900" s="111"/>
      <c r="B900" s="88"/>
      <c r="C900" s="88"/>
      <c r="D900" s="88"/>
      <c r="E900" s="88"/>
      <c r="F900" s="10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>
      <c r="A901" s="111"/>
      <c r="B901" s="88"/>
      <c r="C901" s="88"/>
      <c r="D901" s="88"/>
      <c r="E901" s="88"/>
      <c r="F901" s="10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>
      <c r="A902" s="111"/>
      <c r="B902" s="88"/>
      <c r="C902" s="88"/>
      <c r="D902" s="88"/>
      <c r="E902" s="88"/>
      <c r="F902" s="10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>
      <c r="A903" s="111"/>
      <c r="B903" s="88"/>
      <c r="C903" s="88"/>
      <c r="D903" s="88"/>
      <c r="E903" s="88"/>
      <c r="F903" s="10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>
      <c r="A904" s="111"/>
      <c r="B904" s="88"/>
      <c r="C904" s="88"/>
      <c r="D904" s="88"/>
      <c r="E904" s="88"/>
      <c r="F904" s="10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>
      <c r="A905" s="111"/>
      <c r="B905" s="88"/>
      <c r="C905" s="88"/>
      <c r="D905" s="88"/>
      <c r="E905" s="88"/>
      <c r="F905" s="10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>
      <c r="A906" s="111"/>
      <c r="B906" s="88"/>
      <c r="C906" s="88"/>
      <c r="D906" s="88"/>
      <c r="E906" s="88"/>
      <c r="F906" s="10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>
      <c r="A907" s="111"/>
      <c r="B907" s="88"/>
      <c r="C907" s="88"/>
      <c r="D907" s="88"/>
      <c r="E907" s="88"/>
      <c r="F907" s="10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>
      <c r="A908" s="111"/>
      <c r="B908" s="88"/>
      <c r="C908" s="88"/>
      <c r="D908" s="88"/>
      <c r="E908" s="88"/>
      <c r="F908" s="10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>
      <c r="A909" s="111"/>
      <c r="B909" s="88"/>
      <c r="C909" s="88"/>
      <c r="D909" s="88"/>
      <c r="E909" s="88"/>
      <c r="F909" s="10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>
      <c r="A910" s="111"/>
      <c r="B910" s="88"/>
      <c r="C910" s="88"/>
      <c r="D910" s="88"/>
      <c r="E910" s="88"/>
      <c r="F910" s="10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>
      <c r="A911" s="111"/>
      <c r="B911" s="88"/>
      <c r="C911" s="88"/>
      <c r="D911" s="88"/>
      <c r="E911" s="88"/>
      <c r="F911" s="10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>
      <c r="A912" s="111"/>
      <c r="B912" s="88"/>
      <c r="C912" s="88"/>
      <c r="D912" s="88"/>
      <c r="E912" s="88"/>
      <c r="F912" s="10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>
      <c r="A913" s="111"/>
      <c r="B913" s="88"/>
      <c r="C913" s="88"/>
      <c r="D913" s="88"/>
      <c r="E913" s="88"/>
      <c r="F913" s="10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>
      <c r="A914" s="111"/>
      <c r="B914" s="88"/>
      <c r="C914" s="88"/>
      <c r="D914" s="88"/>
      <c r="E914" s="88"/>
      <c r="F914" s="10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>
      <c r="A915" s="111"/>
      <c r="B915" s="88"/>
      <c r="C915" s="88"/>
      <c r="D915" s="88"/>
      <c r="E915" s="88"/>
      <c r="F915" s="10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>
      <c r="A916" s="111"/>
      <c r="B916" s="88"/>
      <c r="C916" s="88"/>
      <c r="D916" s="88"/>
      <c r="E916" s="88"/>
      <c r="F916" s="10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>
      <c r="A917" s="111"/>
      <c r="B917" s="88"/>
      <c r="C917" s="88"/>
      <c r="D917" s="88"/>
      <c r="E917" s="88"/>
      <c r="F917" s="10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>
      <c r="A918" s="111"/>
      <c r="B918" s="88"/>
      <c r="C918" s="88"/>
      <c r="D918" s="88"/>
      <c r="E918" s="88"/>
      <c r="F918" s="10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>
      <c r="A919" s="111"/>
      <c r="B919" s="88"/>
      <c r="C919" s="88"/>
      <c r="D919" s="88"/>
      <c r="E919" s="88"/>
      <c r="F919" s="10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>
      <c r="A920" s="111"/>
      <c r="B920" s="88"/>
      <c r="C920" s="88"/>
      <c r="D920" s="88"/>
      <c r="E920" s="88"/>
      <c r="F920" s="10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>
      <c r="A921" s="111"/>
      <c r="B921" s="88"/>
      <c r="C921" s="88"/>
      <c r="D921" s="88"/>
      <c r="E921" s="88"/>
      <c r="F921" s="10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>
      <c r="A922" s="111"/>
      <c r="B922" s="88"/>
      <c r="C922" s="88"/>
      <c r="D922" s="88"/>
      <c r="E922" s="88"/>
      <c r="F922" s="10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>
      <c r="A923" s="111"/>
      <c r="B923" s="88"/>
      <c r="C923" s="88"/>
      <c r="D923" s="88"/>
      <c r="E923" s="88"/>
      <c r="F923" s="10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>
      <c r="A924" s="111"/>
      <c r="B924" s="88"/>
      <c r="C924" s="88"/>
      <c r="D924" s="88"/>
      <c r="E924" s="88"/>
      <c r="F924" s="10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>
      <c r="A925" s="111"/>
      <c r="B925" s="88"/>
      <c r="C925" s="88"/>
      <c r="D925" s="88"/>
      <c r="E925" s="88"/>
      <c r="F925" s="10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>
      <c r="A926" s="111"/>
      <c r="B926" s="88"/>
      <c r="C926" s="88"/>
      <c r="D926" s="88"/>
      <c r="E926" s="88"/>
      <c r="F926" s="10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>
      <c r="A927" s="111"/>
      <c r="B927" s="88"/>
      <c r="C927" s="88"/>
      <c r="D927" s="88"/>
      <c r="E927" s="88"/>
      <c r="F927" s="10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>
      <c r="A928" s="111"/>
      <c r="B928" s="88"/>
      <c r="C928" s="88"/>
      <c r="D928" s="88"/>
      <c r="E928" s="88"/>
      <c r="F928" s="10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>
      <c r="A929" s="111"/>
      <c r="B929" s="88"/>
      <c r="C929" s="88"/>
      <c r="D929" s="88"/>
      <c r="E929" s="88"/>
      <c r="F929" s="10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>
      <c r="A930" s="111"/>
      <c r="B930" s="88"/>
      <c r="C930" s="88"/>
      <c r="D930" s="88"/>
      <c r="E930" s="88"/>
      <c r="F930" s="10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>
      <c r="A931" s="111"/>
      <c r="B931" s="88"/>
      <c r="C931" s="88"/>
      <c r="D931" s="88"/>
      <c r="E931" s="88"/>
      <c r="F931" s="10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>
      <c r="A932" s="111"/>
      <c r="B932" s="88"/>
      <c r="C932" s="88"/>
      <c r="D932" s="88"/>
      <c r="E932" s="88"/>
      <c r="F932" s="10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>
      <c r="A933" s="111"/>
      <c r="B933" s="88"/>
      <c r="C933" s="88"/>
      <c r="D933" s="88"/>
      <c r="E933" s="88"/>
      <c r="F933" s="10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>
      <c r="A934" s="111"/>
      <c r="B934" s="88"/>
      <c r="C934" s="88"/>
      <c r="D934" s="88"/>
      <c r="E934" s="88"/>
      <c r="F934" s="10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>
      <c r="A935" s="111"/>
      <c r="B935" s="88"/>
      <c r="C935" s="88"/>
      <c r="D935" s="88"/>
      <c r="E935" s="88"/>
      <c r="F935" s="10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>
      <c r="A936" s="111"/>
      <c r="B936" s="88"/>
      <c r="C936" s="88"/>
      <c r="D936" s="88"/>
      <c r="E936" s="88"/>
      <c r="F936" s="10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>
      <c r="A937" s="111"/>
      <c r="B937" s="88"/>
      <c r="C937" s="88"/>
      <c r="D937" s="88"/>
      <c r="E937" s="88"/>
      <c r="F937" s="10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>
      <c r="A938" s="111"/>
      <c r="B938" s="88"/>
      <c r="C938" s="88"/>
      <c r="D938" s="88"/>
      <c r="E938" s="88"/>
      <c r="F938" s="10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>
      <c r="A939" s="111"/>
      <c r="B939" s="88"/>
      <c r="C939" s="88"/>
      <c r="D939" s="88"/>
      <c r="E939" s="88"/>
      <c r="F939" s="10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>
      <c r="A940" s="111"/>
      <c r="B940" s="88"/>
      <c r="C940" s="88"/>
      <c r="D940" s="88"/>
      <c r="E940" s="88"/>
      <c r="F940" s="10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>
      <c r="A941" s="111"/>
      <c r="B941" s="88"/>
      <c r="C941" s="88"/>
      <c r="D941" s="88"/>
      <c r="E941" s="88"/>
      <c r="F941" s="10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>
      <c r="A942" s="111"/>
      <c r="B942" s="88"/>
      <c r="C942" s="88"/>
      <c r="D942" s="88"/>
      <c r="E942" s="88"/>
      <c r="F942" s="10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>
      <c r="A943" s="111"/>
      <c r="B943" s="88"/>
      <c r="C943" s="88"/>
      <c r="D943" s="88"/>
      <c r="E943" s="88"/>
      <c r="F943" s="10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>
      <c r="A944" s="111"/>
      <c r="B944" s="88"/>
      <c r="C944" s="88"/>
      <c r="D944" s="88"/>
      <c r="E944" s="88"/>
      <c r="F944" s="10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>
      <c r="A945" s="111"/>
      <c r="B945" s="88"/>
      <c r="C945" s="88"/>
      <c r="D945" s="88"/>
      <c r="E945" s="88"/>
      <c r="F945" s="10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>
      <c r="A946" s="111"/>
      <c r="B946" s="88"/>
      <c r="C946" s="88"/>
      <c r="D946" s="88"/>
      <c r="E946" s="88"/>
      <c r="F946" s="10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>
      <c r="A947" s="111"/>
      <c r="B947" s="88"/>
      <c r="C947" s="88"/>
      <c r="D947" s="88"/>
      <c r="E947" s="88"/>
      <c r="F947" s="10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>
      <c r="A948" s="111"/>
      <c r="B948" s="88"/>
      <c r="C948" s="88"/>
      <c r="D948" s="88"/>
      <c r="E948" s="88"/>
      <c r="F948" s="10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>
      <c r="A949" s="111"/>
      <c r="B949" s="88"/>
      <c r="C949" s="88"/>
      <c r="D949" s="88"/>
      <c r="E949" s="88"/>
      <c r="F949" s="10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>
      <c r="A950" s="111"/>
      <c r="B950" s="88"/>
      <c r="C950" s="88"/>
      <c r="D950" s="88"/>
      <c r="E950" s="88"/>
      <c r="F950" s="10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>
      <c r="A951" s="111"/>
      <c r="B951" s="88"/>
      <c r="C951" s="88"/>
      <c r="D951" s="88"/>
      <c r="E951" s="88"/>
      <c r="F951" s="10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>
      <c r="A952" s="111"/>
      <c r="B952" s="88"/>
      <c r="C952" s="88"/>
      <c r="D952" s="88"/>
      <c r="E952" s="88"/>
      <c r="F952" s="10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>
      <c r="A953" s="111"/>
      <c r="B953" s="88"/>
      <c r="C953" s="88"/>
      <c r="D953" s="88"/>
      <c r="E953" s="88"/>
      <c r="F953" s="10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>
      <c r="A954" s="111"/>
      <c r="B954" s="88"/>
      <c r="C954" s="88"/>
      <c r="D954" s="88"/>
      <c r="E954" s="88"/>
      <c r="F954" s="10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>
      <c r="A955" s="111"/>
      <c r="B955" s="88"/>
      <c r="C955" s="88"/>
      <c r="D955" s="88"/>
      <c r="E955" s="88"/>
      <c r="F955" s="10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>
      <c r="A956" s="111"/>
      <c r="B956" s="88"/>
      <c r="C956" s="88"/>
      <c r="D956" s="88"/>
      <c r="E956" s="88"/>
      <c r="F956" s="10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>
      <c r="A957" s="111"/>
      <c r="B957" s="88"/>
      <c r="C957" s="88"/>
      <c r="D957" s="88"/>
      <c r="E957" s="88"/>
      <c r="F957" s="10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>
      <c r="A958" s="111"/>
      <c r="B958" s="88"/>
      <c r="C958" s="88"/>
      <c r="D958" s="88"/>
      <c r="E958" s="88"/>
      <c r="F958" s="10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>
      <c r="A959" s="111"/>
      <c r="B959" s="88"/>
      <c r="C959" s="88"/>
      <c r="D959" s="88"/>
      <c r="E959" s="88"/>
      <c r="F959" s="10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>
      <c r="A960" s="111"/>
      <c r="B960" s="88"/>
      <c r="C960" s="88"/>
      <c r="D960" s="88"/>
      <c r="E960" s="88"/>
      <c r="F960" s="10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>
      <c r="A961" s="111"/>
      <c r="B961" s="88"/>
      <c r="C961" s="88"/>
      <c r="D961" s="88"/>
      <c r="E961" s="88"/>
      <c r="F961" s="10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>
      <c r="A962" s="111"/>
      <c r="B962" s="88"/>
      <c r="C962" s="88"/>
      <c r="D962" s="88"/>
      <c r="E962" s="88"/>
      <c r="F962" s="10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>
      <c r="A963" s="111"/>
      <c r="B963" s="88"/>
      <c r="C963" s="88"/>
      <c r="D963" s="88"/>
      <c r="E963" s="88"/>
      <c r="F963" s="10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>
      <c r="A964" s="111"/>
      <c r="B964" s="88"/>
      <c r="C964" s="88"/>
      <c r="D964" s="88"/>
      <c r="E964" s="88"/>
      <c r="F964" s="10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>
      <c r="A965" s="111"/>
      <c r="B965" s="88"/>
      <c r="C965" s="88"/>
      <c r="D965" s="88"/>
      <c r="E965" s="88"/>
      <c r="F965" s="10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>
      <c r="A966" s="111"/>
      <c r="B966" s="88"/>
      <c r="C966" s="88"/>
      <c r="D966" s="88"/>
      <c r="E966" s="88"/>
      <c r="F966" s="10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>
      <c r="A967" s="111"/>
      <c r="B967" s="88"/>
      <c r="C967" s="88"/>
      <c r="D967" s="88"/>
      <c r="E967" s="88"/>
      <c r="F967" s="10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>
      <c r="A968" s="111"/>
      <c r="B968" s="88"/>
      <c r="C968" s="88"/>
      <c r="D968" s="88"/>
      <c r="E968" s="88"/>
      <c r="F968" s="10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>
      <c r="A969" s="111"/>
      <c r="B969" s="88"/>
      <c r="C969" s="88"/>
      <c r="D969" s="88"/>
      <c r="E969" s="88"/>
      <c r="F969" s="10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>
      <c r="A970" s="111"/>
      <c r="B970" s="88"/>
      <c r="C970" s="88"/>
      <c r="D970" s="88"/>
      <c r="E970" s="88"/>
      <c r="F970" s="10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>
      <c r="A971" s="111"/>
      <c r="B971" s="88"/>
      <c r="C971" s="88"/>
      <c r="D971" s="88"/>
      <c r="E971" s="88"/>
      <c r="F971" s="10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>
      <c r="A972" s="111"/>
      <c r="B972" s="88"/>
      <c r="C972" s="88"/>
      <c r="D972" s="88"/>
      <c r="E972" s="88"/>
      <c r="F972" s="10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>
      <c r="A973" s="111"/>
      <c r="B973" s="88"/>
      <c r="C973" s="88"/>
      <c r="D973" s="88"/>
      <c r="E973" s="88"/>
      <c r="F973" s="10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>
      <c r="A974" s="111"/>
      <c r="B974" s="88"/>
      <c r="C974" s="88"/>
      <c r="D974" s="88"/>
      <c r="E974" s="88"/>
      <c r="F974" s="10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>
      <c r="A975" s="111"/>
      <c r="B975" s="88"/>
      <c r="C975" s="88"/>
      <c r="D975" s="88"/>
      <c r="E975" s="88"/>
      <c r="F975" s="10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>
      <c r="A976" s="111"/>
      <c r="B976" s="88"/>
      <c r="C976" s="88"/>
      <c r="D976" s="88"/>
      <c r="E976" s="88"/>
      <c r="F976" s="10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>
      <c r="A977" s="111"/>
      <c r="B977" s="88"/>
      <c r="C977" s="88"/>
      <c r="D977" s="88"/>
      <c r="E977" s="88"/>
      <c r="F977" s="10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>
      <c r="A978" s="111"/>
      <c r="B978" s="88"/>
      <c r="C978" s="88"/>
      <c r="D978" s="88"/>
      <c r="E978" s="88"/>
      <c r="F978" s="10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>
      <c r="A979" s="111"/>
      <c r="B979" s="88"/>
      <c r="C979" s="88"/>
      <c r="D979" s="88"/>
      <c r="E979" s="88"/>
      <c r="F979" s="10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>
      <c r="A980" s="111"/>
      <c r="B980" s="88"/>
      <c r="C980" s="88"/>
      <c r="D980" s="88"/>
      <c r="E980" s="88"/>
      <c r="F980" s="10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>
      <c r="A981" s="111"/>
      <c r="B981" s="88"/>
      <c r="C981" s="88"/>
      <c r="D981" s="88"/>
      <c r="E981" s="88"/>
      <c r="F981" s="10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>
      <c r="A982" s="111"/>
      <c r="B982" s="88"/>
      <c r="C982" s="88"/>
      <c r="D982" s="88"/>
      <c r="E982" s="88"/>
      <c r="F982" s="10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>
      <c r="A983" s="111"/>
      <c r="B983" s="88"/>
      <c r="C983" s="88"/>
      <c r="D983" s="88"/>
      <c r="E983" s="88"/>
      <c r="F983" s="10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>
      <c r="A984" s="111"/>
      <c r="B984" s="88"/>
      <c r="C984" s="88"/>
      <c r="D984" s="88"/>
      <c r="E984" s="88"/>
      <c r="F984" s="10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>
      <c r="A985" s="111"/>
      <c r="B985" s="88"/>
      <c r="C985" s="88"/>
      <c r="D985" s="88"/>
      <c r="E985" s="88"/>
      <c r="F985" s="10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>
      <c r="A986" s="111"/>
      <c r="B986" s="88"/>
      <c r="C986" s="88"/>
      <c r="D986" s="88"/>
      <c r="E986" s="88"/>
      <c r="F986" s="10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>
      <c r="A987" s="111"/>
      <c r="B987" s="88"/>
      <c r="C987" s="88"/>
      <c r="D987" s="88"/>
      <c r="E987" s="88"/>
      <c r="F987" s="10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>
      <c r="A988" s="111"/>
      <c r="B988" s="88"/>
      <c r="C988" s="88"/>
      <c r="D988" s="88"/>
      <c r="E988" s="88"/>
      <c r="F988" s="10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>
      <c r="A989" s="111"/>
      <c r="B989" s="88"/>
      <c r="C989" s="88"/>
      <c r="D989" s="88"/>
      <c r="E989" s="88"/>
      <c r="F989" s="10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>
      <c r="A990" s="111"/>
      <c r="B990" s="88"/>
      <c r="C990" s="88"/>
      <c r="D990" s="88"/>
      <c r="E990" s="88"/>
      <c r="F990" s="10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>
      <c r="A991" s="111"/>
      <c r="B991" s="88"/>
      <c r="C991" s="88"/>
      <c r="D991" s="88"/>
      <c r="E991" s="88"/>
      <c r="F991" s="10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>
      <c r="A992" s="111"/>
      <c r="B992" s="88"/>
      <c r="C992" s="88"/>
      <c r="D992" s="88"/>
      <c r="E992" s="88"/>
      <c r="F992" s="10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>
      <c r="A993" s="111"/>
      <c r="B993" s="88"/>
      <c r="C993" s="88"/>
      <c r="D993" s="88"/>
      <c r="E993" s="88"/>
      <c r="F993" s="10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>
      <c r="A994" s="111"/>
      <c r="B994" s="88"/>
      <c r="C994" s="88"/>
      <c r="D994" s="88"/>
      <c r="E994" s="88"/>
      <c r="F994" s="10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>
      <c r="A995" s="111"/>
      <c r="B995" s="88"/>
      <c r="C995" s="88"/>
      <c r="D995" s="88"/>
      <c r="E995" s="88"/>
      <c r="F995" s="10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>
      <c r="A996" s="111"/>
      <c r="B996" s="88"/>
      <c r="C996" s="88"/>
      <c r="D996" s="88"/>
      <c r="E996" s="88"/>
      <c r="F996" s="10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>
      <c r="A997" s="111"/>
      <c r="B997" s="88"/>
      <c r="C997" s="88"/>
      <c r="D997" s="88"/>
      <c r="E997" s="88"/>
      <c r="F997" s="10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>
      <c r="A998" s="111"/>
      <c r="B998" s="88"/>
      <c r="C998" s="88"/>
      <c r="D998" s="88"/>
      <c r="E998" s="88"/>
      <c r="F998" s="10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>
      <c r="A999" s="111"/>
      <c r="B999" s="88"/>
      <c r="C999" s="88"/>
      <c r="D999" s="88"/>
      <c r="E999" s="88"/>
      <c r="F999" s="10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>
      <c r="A1000" s="111"/>
      <c r="B1000" s="88"/>
      <c r="C1000" s="88"/>
      <c r="D1000" s="88"/>
      <c r="E1000" s="88"/>
      <c r="F1000" s="10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mergeCells count="3">
    <mergeCell ref="B1:F1"/>
    <mergeCell ref="G1:K1"/>
    <mergeCell ref="A2:A3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84"/>
      <c r="B1" s="113" t="s">
        <v>73</v>
      </c>
    </row>
    <row r="2">
      <c r="A2" s="114" t="s">
        <v>75</v>
      </c>
      <c r="B2" s="115">
        <v>2021.0</v>
      </c>
      <c r="C2" s="115">
        <v>2020.0</v>
      </c>
      <c r="D2" s="115">
        <v>2019.0</v>
      </c>
      <c r="E2" s="115">
        <v>2018.0</v>
      </c>
      <c r="F2" s="115">
        <v>2017.0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B3" s="116" t="s">
        <v>76</v>
      </c>
      <c r="C3" s="116" t="s">
        <v>76</v>
      </c>
      <c r="D3" s="116" t="s">
        <v>76</v>
      </c>
      <c r="E3" s="116" t="s">
        <v>76</v>
      </c>
      <c r="F3" s="116" t="s">
        <v>76</v>
      </c>
    </row>
    <row r="4">
      <c r="A4" s="84" t="s">
        <v>129</v>
      </c>
      <c r="B4" s="117">
        <v>490.5</v>
      </c>
      <c r="C4" s="117">
        <v>320.1</v>
      </c>
    </row>
    <row r="5">
      <c r="A5" s="84" t="s">
        <v>130</v>
      </c>
      <c r="B5" s="117">
        <v>276.6</v>
      </c>
      <c r="C5" s="117">
        <v>275.8</v>
      </c>
    </row>
    <row r="6">
      <c r="A6" s="84" t="s">
        <v>131</v>
      </c>
      <c r="B6" s="117">
        <v>16.9</v>
      </c>
      <c r="C6" s="117">
        <v>35.2</v>
      </c>
    </row>
    <row r="7">
      <c r="A7" s="84" t="s">
        <v>132</v>
      </c>
      <c r="B7" s="118">
        <f t="shared" ref="B7:F7" si="1">B5+B6</f>
        <v>293.5</v>
      </c>
      <c r="C7" s="118">
        <f t="shared" si="1"/>
        <v>311</v>
      </c>
      <c r="D7" s="118">
        <f t="shared" si="1"/>
        <v>0</v>
      </c>
      <c r="E7" s="118">
        <f t="shared" si="1"/>
        <v>0</v>
      </c>
      <c r="F7" s="118">
        <f t="shared" si="1"/>
        <v>0</v>
      </c>
    </row>
    <row r="8">
      <c r="A8" s="119" t="s">
        <v>133</v>
      </c>
    </row>
    <row r="9">
      <c r="A9" s="119" t="s">
        <v>134</v>
      </c>
    </row>
    <row r="10">
      <c r="A10" s="119" t="s">
        <v>135</v>
      </c>
    </row>
    <row r="11">
      <c r="A11" s="84"/>
    </row>
    <row r="12">
      <c r="A12" s="84" t="s">
        <v>136</v>
      </c>
      <c r="B12" s="117" t="s">
        <v>137</v>
      </c>
      <c r="C12" s="117">
        <v>90.1</v>
      </c>
    </row>
    <row r="13">
      <c r="A13" s="119" t="s">
        <v>138</v>
      </c>
      <c r="B13" s="117">
        <v>1.5</v>
      </c>
      <c r="C13" s="117">
        <v>18.7</v>
      </c>
    </row>
    <row r="14">
      <c r="A14" s="84" t="s">
        <v>139</v>
      </c>
      <c r="B14" s="117" t="s">
        <v>140</v>
      </c>
      <c r="C14" s="117" t="s">
        <v>141</v>
      </c>
    </row>
    <row r="15">
      <c r="A15" s="84" t="s">
        <v>142</v>
      </c>
      <c r="B15" s="117">
        <v>57.2</v>
      </c>
      <c r="C15" s="117" t="s">
        <v>143</v>
      </c>
    </row>
    <row r="16">
      <c r="A16" s="119" t="s">
        <v>144</v>
      </c>
      <c r="B16" s="117">
        <v>173.0</v>
      </c>
      <c r="C16" s="117">
        <v>106.0</v>
      </c>
    </row>
    <row r="17">
      <c r="A17" s="84" t="s">
        <v>145</v>
      </c>
      <c r="B17" s="117" t="s">
        <v>146</v>
      </c>
      <c r="C17" s="117" t="s">
        <v>147</v>
      </c>
    </row>
    <row r="18">
      <c r="A18" s="84" t="s">
        <v>148</v>
      </c>
    </row>
    <row r="19">
      <c r="A19" s="120" t="s">
        <v>149</v>
      </c>
    </row>
    <row r="20">
      <c r="A20" s="84" t="s">
        <v>150</v>
      </c>
    </row>
    <row r="21">
      <c r="A21" s="84" t="s">
        <v>151</v>
      </c>
    </row>
    <row r="22">
      <c r="A22" s="84" t="s">
        <v>152</v>
      </c>
    </row>
    <row r="23">
      <c r="A23" s="84" t="s">
        <v>153</v>
      </c>
    </row>
    <row r="24">
      <c r="A24" s="84" t="s">
        <v>154</v>
      </c>
    </row>
    <row r="25">
      <c r="A25" s="84" t="s">
        <v>155</v>
      </c>
    </row>
    <row r="26">
      <c r="A26" s="84" t="s">
        <v>156</v>
      </c>
    </row>
    <row r="27">
      <c r="A27" s="120" t="s">
        <v>157</v>
      </c>
    </row>
    <row r="28">
      <c r="A28" s="84" t="s">
        <v>158</v>
      </c>
    </row>
    <row r="29">
      <c r="A29" s="84" t="s">
        <v>159</v>
      </c>
    </row>
    <row r="30">
      <c r="A30" s="84" t="s">
        <v>160</v>
      </c>
    </row>
    <row r="31">
      <c r="A31" s="84" t="s">
        <v>161</v>
      </c>
    </row>
    <row r="32">
      <c r="A32" s="84" t="s">
        <v>162</v>
      </c>
    </row>
    <row r="33">
      <c r="A33" s="84" t="s">
        <v>163</v>
      </c>
    </row>
    <row r="34">
      <c r="A34" s="84" t="s">
        <v>164</v>
      </c>
    </row>
    <row r="35">
      <c r="A35" s="120" t="s">
        <v>165</v>
      </c>
    </row>
    <row r="36">
      <c r="A36" s="120" t="s">
        <v>166</v>
      </c>
    </row>
    <row r="37">
      <c r="A37" s="120" t="s">
        <v>167</v>
      </c>
    </row>
    <row r="38">
      <c r="A38" s="120" t="s">
        <v>168</v>
      </c>
    </row>
    <row r="39">
      <c r="A39" s="84"/>
    </row>
    <row r="40">
      <c r="A40" s="84"/>
    </row>
    <row r="41">
      <c r="A41" s="84"/>
    </row>
    <row r="42">
      <c r="A42" s="84"/>
    </row>
    <row r="43">
      <c r="A43" s="84"/>
    </row>
    <row r="44">
      <c r="A44" s="84"/>
    </row>
    <row r="45">
      <c r="A45" s="84"/>
    </row>
    <row r="46">
      <c r="A46" s="84"/>
    </row>
    <row r="47">
      <c r="A47" s="84"/>
    </row>
    <row r="48">
      <c r="A48" s="84"/>
    </row>
    <row r="49">
      <c r="A49" s="84"/>
    </row>
    <row r="50">
      <c r="A50" s="84"/>
    </row>
    <row r="51">
      <c r="A51" s="84"/>
    </row>
    <row r="52">
      <c r="A52" s="84"/>
    </row>
    <row r="53">
      <c r="A53" s="84"/>
    </row>
    <row r="54">
      <c r="A54" s="84"/>
    </row>
    <row r="55">
      <c r="A55" s="84"/>
    </row>
    <row r="56">
      <c r="A56" s="84"/>
    </row>
    <row r="57">
      <c r="A57" s="84"/>
    </row>
    <row r="58">
      <c r="A58" s="84"/>
    </row>
    <row r="59">
      <c r="A59" s="84"/>
    </row>
    <row r="60">
      <c r="A60" s="84"/>
    </row>
    <row r="61">
      <c r="A61" s="84"/>
    </row>
    <row r="62">
      <c r="A62" s="84"/>
    </row>
    <row r="63">
      <c r="A63" s="84"/>
    </row>
    <row r="64">
      <c r="A64" s="84"/>
    </row>
    <row r="65">
      <c r="A65" s="84"/>
    </row>
    <row r="66">
      <c r="A66" s="84"/>
    </row>
    <row r="67">
      <c r="A67" s="84"/>
    </row>
    <row r="68">
      <c r="A68" s="84"/>
    </row>
    <row r="69">
      <c r="A69" s="84"/>
    </row>
    <row r="70">
      <c r="A70" s="84"/>
    </row>
    <row r="71">
      <c r="A71" s="84"/>
    </row>
    <row r="72">
      <c r="A72" s="84"/>
    </row>
    <row r="73">
      <c r="A73" s="84"/>
    </row>
    <row r="74">
      <c r="A74" s="84"/>
    </row>
    <row r="75">
      <c r="A75" s="84"/>
    </row>
    <row r="76">
      <c r="A76" s="84"/>
    </row>
    <row r="77">
      <c r="A77" s="84"/>
    </row>
    <row r="78">
      <c r="A78" s="84"/>
    </row>
    <row r="79">
      <c r="A79" s="84"/>
    </row>
    <row r="80">
      <c r="A80" s="84"/>
    </row>
    <row r="81">
      <c r="A81" s="84"/>
    </row>
    <row r="82">
      <c r="A82" s="84"/>
    </row>
    <row r="83">
      <c r="A83" s="84"/>
    </row>
    <row r="84">
      <c r="A84" s="84"/>
    </row>
    <row r="85">
      <c r="A85" s="84"/>
    </row>
    <row r="86">
      <c r="A86" s="84"/>
    </row>
    <row r="87">
      <c r="A87" s="84"/>
    </row>
    <row r="88">
      <c r="A88" s="84"/>
    </row>
    <row r="89">
      <c r="A89" s="84"/>
    </row>
    <row r="90">
      <c r="A90" s="84"/>
    </row>
    <row r="91">
      <c r="A91" s="84"/>
    </row>
    <row r="92">
      <c r="A92" s="84"/>
    </row>
    <row r="93">
      <c r="A93" s="84"/>
    </row>
    <row r="94">
      <c r="A94" s="84"/>
    </row>
    <row r="95">
      <c r="A95" s="84"/>
    </row>
    <row r="96">
      <c r="A96" s="84"/>
    </row>
    <row r="97">
      <c r="A97" s="84"/>
    </row>
    <row r="98">
      <c r="A98" s="84"/>
    </row>
    <row r="99">
      <c r="A99" s="84"/>
    </row>
    <row r="100">
      <c r="A100" s="84"/>
    </row>
    <row r="101">
      <c r="A101" s="84"/>
    </row>
    <row r="102">
      <c r="A102" s="84"/>
    </row>
    <row r="103">
      <c r="A103" s="84"/>
    </row>
    <row r="104">
      <c r="A104" s="84"/>
    </row>
    <row r="105">
      <c r="A105" s="84"/>
    </row>
    <row r="106">
      <c r="A106" s="84"/>
    </row>
    <row r="107">
      <c r="A107" s="84"/>
    </row>
    <row r="108">
      <c r="A108" s="84"/>
    </row>
    <row r="109">
      <c r="A109" s="84"/>
    </row>
    <row r="110">
      <c r="A110" s="84"/>
    </row>
    <row r="111">
      <c r="A111" s="84"/>
    </row>
    <row r="112">
      <c r="A112" s="84"/>
    </row>
    <row r="113">
      <c r="A113" s="84"/>
    </row>
    <row r="114">
      <c r="A114" s="84"/>
    </row>
    <row r="115">
      <c r="A115" s="84"/>
    </row>
    <row r="116">
      <c r="A116" s="84"/>
    </row>
    <row r="117">
      <c r="A117" s="84"/>
    </row>
    <row r="118">
      <c r="A118" s="84"/>
    </row>
    <row r="119">
      <c r="A119" s="84"/>
    </row>
    <row r="120">
      <c r="A120" s="84"/>
    </row>
    <row r="121">
      <c r="A121" s="84"/>
    </row>
    <row r="122">
      <c r="A122" s="84"/>
    </row>
    <row r="123">
      <c r="A123" s="84"/>
    </row>
    <row r="124">
      <c r="A124" s="84"/>
    </row>
    <row r="125">
      <c r="A125" s="84"/>
    </row>
    <row r="126">
      <c r="A126" s="84"/>
    </row>
    <row r="127">
      <c r="A127" s="84"/>
    </row>
    <row r="128">
      <c r="A128" s="84"/>
    </row>
    <row r="129">
      <c r="A129" s="84"/>
    </row>
    <row r="130">
      <c r="A130" s="84"/>
    </row>
    <row r="131">
      <c r="A131" s="84"/>
    </row>
    <row r="132">
      <c r="A132" s="84"/>
    </row>
    <row r="133">
      <c r="A133" s="84"/>
    </row>
    <row r="134">
      <c r="A134" s="84"/>
    </row>
    <row r="135">
      <c r="A135" s="84"/>
    </row>
    <row r="136">
      <c r="A136" s="84"/>
    </row>
    <row r="137">
      <c r="A137" s="84"/>
    </row>
    <row r="138">
      <c r="A138" s="84"/>
    </row>
    <row r="139">
      <c r="A139" s="84"/>
    </row>
    <row r="140">
      <c r="A140" s="84"/>
    </row>
    <row r="141">
      <c r="A141" s="84"/>
    </row>
    <row r="142">
      <c r="A142" s="84"/>
    </row>
    <row r="143">
      <c r="A143" s="84"/>
    </row>
    <row r="144">
      <c r="A144" s="84"/>
    </row>
    <row r="145">
      <c r="A145" s="84"/>
    </row>
    <row r="146">
      <c r="A146" s="84"/>
    </row>
    <row r="147">
      <c r="A147" s="84"/>
    </row>
    <row r="148">
      <c r="A148" s="84"/>
    </row>
    <row r="149">
      <c r="A149" s="84"/>
    </row>
    <row r="150">
      <c r="A150" s="84"/>
    </row>
    <row r="151">
      <c r="A151" s="84"/>
    </row>
    <row r="152">
      <c r="A152" s="84"/>
    </row>
    <row r="153">
      <c r="A153" s="84"/>
    </row>
    <row r="154">
      <c r="A154" s="84"/>
    </row>
    <row r="155">
      <c r="A155" s="84"/>
    </row>
    <row r="156">
      <c r="A156" s="84"/>
    </row>
    <row r="157">
      <c r="A157" s="84"/>
    </row>
    <row r="158">
      <c r="A158" s="84"/>
    </row>
    <row r="159">
      <c r="A159" s="84"/>
    </row>
    <row r="160">
      <c r="A160" s="84"/>
    </row>
    <row r="161">
      <c r="A161" s="84"/>
    </row>
    <row r="162">
      <c r="A162" s="84"/>
    </row>
    <row r="163">
      <c r="A163" s="84"/>
    </row>
    <row r="164">
      <c r="A164" s="84"/>
    </row>
    <row r="165">
      <c r="A165" s="84"/>
    </row>
    <row r="166">
      <c r="A166" s="84"/>
    </row>
    <row r="167">
      <c r="A167" s="84"/>
    </row>
    <row r="168">
      <c r="A168" s="84"/>
    </row>
    <row r="169">
      <c r="A169" s="84"/>
    </row>
    <row r="170">
      <c r="A170" s="84"/>
    </row>
    <row r="171">
      <c r="A171" s="84"/>
    </row>
    <row r="172">
      <c r="A172" s="84"/>
    </row>
    <row r="173">
      <c r="A173" s="84"/>
    </row>
    <row r="174">
      <c r="A174" s="84"/>
    </row>
    <row r="175">
      <c r="A175" s="84"/>
    </row>
    <row r="176">
      <c r="A176" s="84"/>
    </row>
    <row r="177">
      <c r="A177" s="84"/>
    </row>
    <row r="178">
      <c r="A178" s="84"/>
    </row>
    <row r="179">
      <c r="A179" s="84"/>
    </row>
    <row r="180">
      <c r="A180" s="84"/>
    </row>
    <row r="181">
      <c r="A181" s="84"/>
    </row>
    <row r="182">
      <c r="A182" s="84"/>
    </row>
    <row r="183">
      <c r="A183" s="84"/>
    </row>
    <row r="184">
      <c r="A184" s="84"/>
    </row>
    <row r="185">
      <c r="A185" s="84"/>
    </row>
    <row r="186">
      <c r="A186" s="84"/>
    </row>
    <row r="187">
      <c r="A187" s="84"/>
    </row>
    <row r="188">
      <c r="A188" s="84"/>
    </row>
    <row r="189">
      <c r="A189" s="84"/>
    </row>
    <row r="190">
      <c r="A190" s="84"/>
    </row>
    <row r="191">
      <c r="A191" s="84"/>
    </row>
    <row r="192">
      <c r="A192" s="84"/>
    </row>
    <row r="193">
      <c r="A193" s="84"/>
    </row>
    <row r="194">
      <c r="A194" s="84"/>
    </row>
    <row r="195">
      <c r="A195" s="84"/>
    </row>
    <row r="196">
      <c r="A196" s="84"/>
    </row>
    <row r="197">
      <c r="A197" s="84"/>
    </row>
    <row r="198">
      <c r="A198" s="84"/>
    </row>
    <row r="199">
      <c r="A199" s="84"/>
    </row>
    <row r="200">
      <c r="A200" s="84"/>
    </row>
    <row r="201">
      <c r="A201" s="84"/>
    </row>
    <row r="202">
      <c r="A202" s="84"/>
    </row>
    <row r="203">
      <c r="A203" s="84"/>
    </row>
    <row r="204">
      <c r="A204" s="84"/>
    </row>
    <row r="205">
      <c r="A205" s="84"/>
    </row>
    <row r="206">
      <c r="A206" s="84"/>
    </row>
    <row r="207">
      <c r="A207" s="84"/>
    </row>
    <row r="208">
      <c r="A208" s="84"/>
    </row>
    <row r="209">
      <c r="A209" s="84"/>
    </row>
    <row r="210">
      <c r="A210" s="84"/>
    </row>
    <row r="211">
      <c r="A211" s="84"/>
    </row>
    <row r="212">
      <c r="A212" s="84"/>
    </row>
    <row r="213">
      <c r="A213" s="84"/>
    </row>
    <row r="214">
      <c r="A214" s="84"/>
    </row>
    <row r="215">
      <c r="A215" s="84"/>
    </row>
    <row r="216">
      <c r="A216" s="84"/>
    </row>
    <row r="217">
      <c r="A217" s="84"/>
    </row>
    <row r="218">
      <c r="A218" s="84"/>
    </row>
    <row r="219">
      <c r="A219" s="84"/>
    </row>
    <row r="220">
      <c r="A220" s="84"/>
    </row>
    <row r="221">
      <c r="A221" s="84"/>
    </row>
    <row r="222">
      <c r="A222" s="84"/>
    </row>
    <row r="223">
      <c r="A223" s="84"/>
    </row>
    <row r="224">
      <c r="A224" s="84"/>
    </row>
    <row r="225">
      <c r="A225" s="84"/>
    </row>
    <row r="226">
      <c r="A226" s="84"/>
    </row>
    <row r="227">
      <c r="A227" s="84"/>
    </row>
    <row r="228">
      <c r="A228" s="84"/>
    </row>
    <row r="229">
      <c r="A229" s="84"/>
    </row>
    <row r="230">
      <c r="A230" s="84"/>
    </row>
    <row r="231">
      <c r="A231" s="84"/>
    </row>
    <row r="232">
      <c r="A232" s="84"/>
    </row>
    <row r="233">
      <c r="A233" s="84"/>
    </row>
    <row r="234">
      <c r="A234" s="84"/>
    </row>
    <row r="235">
      <c r="A235" s="84"/>
    </row>
    <row r="236">
      <c r="A236" s="84"/>
    </row>
    <row r="237">
      <c r="A237" s="84"/>
    </row>
    <row r="238">
      <c r="A238" s="84"/>
    </row>
    <row r="239">
      <c r="A239" s="84"/>
    </row>
    <row r="240">
      <c r="A240" s="84"/>
    </row>
    <row r="241">
      <c r="A241" s="84"/>
    </row>
    <row r="242">
      <c r="A242" s="84"/>
    </row>
    <row r="243">
      <c r="A243" s="84"/>
    </row>
    <row r="244">
      <c r="A244" s="84"/>
    </row>
    <row r="245">
      <c r="A245" s="84"/>
    </row>
    <row r="246">
      <c r="A246" s="84"/>
    </row>
    <row r="247">
      <c r="A247" s="84"/>
    </row>
    <row r="248">
      <c r="A248" s="84"/>
    </row>
    <row r="249">
      <c r="A249" s="84"/>
    </row>
    <row r="250">
      <c r="A250" s="84"/>
    </row>
    <row r="251">
      <c r="A251" s="84"/>
    </row>
    <row r="252">
      <c r="A252" s="84"/>
    </row>
    <row r="253">
      <c r="A253" s="84"/>
    </row>
    <row r="254">
      <c r="A254" s="84"/>
    </row>
    <row r="255">
      <c r="A255" s="84"/>
    </row>
    <row r="256">
      <c r="A256" s="84"/>
    </row>
    <row r="257">
      <c r="A257" s="84"/>
    </row>
    <row r="258">
      <c r="A258" s="84"/>
    </row>
    <row r="259">
      <c r="A259" s="84"/>
    </row>
    <row r="260">
      <c r="A260" s="84"/>
    </row>
    <row r="261">
      <c r="A261" s="84"/>
    </row>
    <row r="262">
      <c r="A262" s="84"/>
    </row>
    <row r="263">
      <c r="A263" s="84"/>
    </row>
    <row r="264">
      <c r="A264" s="84"/>
    </row>
    <row r="265">
      <c r="A265" s="84"/>
    </row>
    <row r="266">
      <c r="A266" s="84"/>
    </row>
    <row r="267">
      <c r="A267" s="84"/>
    </row>
    <row r="268">
      <c r="A268" s="84"/>
    </row>
    <row r="269">
      <c r="A269" s="84"/>
    </row>
    <row r="270">
      <c r="A270" s="84"/>
    </row>
    <row r="271">
      <c r="A271" s="84"/>
    </row>
    <row r="272">
      <c r="A272" s="84"/>
    </row>
    <row r="273">
      <c r="A273" s="84"/>
    </row>
    <row r="274">
      <c r="A274" s="84"/>
    </row>
    <row r="275">
      <c r="A275" s="84"/>
    </row>
    <row r="276">
      <c r="A276" s="84"/>
    </row>
    <row r="277">
      <c r="A277" s="84"/>
    </row>
    <row r="278">
      <c r="A278" s="84"/>
    </row>
    <row r="279">
      <c r="A279" s="84"/>
    </row>
    <row r="280">
      <c r="A280" s="84"/>
    </row>
    <row r="281">
      <c r="A281" s="84"/>
    </row>
    <row r="282">
      <c r="A282" s="84"/>
    </row>
    <row r="283">
      <c r="A283" s="84"/>
    </row>
    <row r="284">
      <c r="A284" s="84"/>
    </row>
    <row r="285">
      <c r="A285" s="84"/>
    </row>
    <row r="286">
      <c r="A286" s="84"/>
    </row>
    <row r="287">
      <c r="A287" s="84"/>
    </row>
    <row r="288">
      <c r="A288" s="84"/>
    </row>
    <row r="289">
      <c r="A289" s="84"/>
    </row>
    <row r="290">
      <c r="A290" s="84"/>
    </row>
    <row r="291">
      <c r="A291" s="84"/>
    </row>
    <row r="292">
      <c r="A292" s="84"/>
    </row>
    <row r="293">
      <c r="A293" s="84"/>
    </row>
    <row r="294">
      <c r="A294" s="84"/>
    </row>
    <row r="295">
      <c r="A295" s="84"/>
    </row>
    <row r="296">
      <c r="A296" s="84"/>
    </row>
    <row r="297">
      <c r="A297" s="84"/>
    </row>
    <row r="298">
      <c r="A298" s="84"/>
    </row>
    <row r="299">
      <c r="A299" s="84"/>
    </row>
    <row r="300">
      <c r="A300" s="84"/>
    </row>
    <row r="301">
      <c r="A301" s="84"/>
    </row>
    <row r="302">
      <c r="A302" s="84"/>
    </row>
    <row r="303">
      <c r="A303" s="84"/>
    </row>
    <row r="304">
      <c r="A304" s="84"/>
    </row>
    <row r="305">
      <c r="A305" s="84"/>
    </row>
    <row r="306">
      <c r="A306" s="84"/>
    </row>
    <row r="307">
      <c r="A307" s="84"/>
    </row>
    <row r="308">
      <c r="A308" s="84"/>
    </row>
    <row r="309">
      <c r="A309" s="84"/>
    </row>
    <row r="310">
      <c r="A310" s="84"/>
    </row>
    <row r="311">
      <c r="A311" s="84"/>
    </row>
    <row r="312">
      <c r="A312" s="84"/>
    </row>
    <row r="313">
      <c r="A313" s="84"/>
    </row>
    <row r="314">
      <c r="A314" s="84"/>
    </row>
    <row r="315">
      <c r="A315" s="84"/>
    </row>
    <row r="316">
      <c r="A316" s="84"/>
    </row>
    <row r="317">
      <c r="A317" s="84"/>
    </row>
    <row r="318">
      <c r="A318" s="84"/>
    </row>
    <row r="319">
      <c r="A319" s="84"/>
    </row>
    <row r="320">
      <c r="A320" s="84"/>
    </row>
    <row r="321">
      <c r="A321" s="84"/>
    </row>
    <row r="322">
      <c r="A322" s="84"/>
    </row>
    <row r="323">
      <c r="A323" s="84"/>
    </row>
    <row r="324">
      <c r="A324" s="84"/>
    </row>
    <row r="325">
      <c r="A325" s="84"/>
    </row>
    <row r="326">
      <c r="A326" s="84"/>
    </row>
    <row r="327">
      <c r="A327" s="84"/>
    </row>
    <row r="328">
      <c r="A328" s="84"/>
    </row>
    <row r="329">
      <c r="A329" s="84"/>
    </row>
    <row r="330">
      <c r="A330" s="84"/>
    </row>
    <row r="331">
      <c r="A331" s="84"/>
    </row>
    <row r="332">
      <c r="A332" s="84"/>
    </row>
    <row r="333">
      <c r="A333" s="84"/>
    </row>
    <row r="334">
      <c r="A334" s="84"/>
    </row>
    <row r="335">
      <c r="A335" s="84"/>
    </row>
    <row r="336">
      <c r="A336" s="84"/>
    </row>
    <row r="337">
      <c r="A337" s="84"/>
    </row>
    <row r="338">
      <c r="A338" s="84"/>
    </row>
    <row r="339">
      <c r="A339" s="84"/>
    </row>
    <row r="340">
      <c r="A340" s="84"/>
    </row>
    <row r="341">
      <c r="A341" s="84"/>
    </row>
    <row r="342">
      <c r="A342" s="84"/>
    </row>
    <row r="343">
      <c r="A343" s="84"/>
    </row>
    <row r="344">
      <c r="A344" s="84"/>
    </row>
    <row r="345">
      <c r="A345" s="84"/>
    </row>
    <row r="346">
      <c r="A346" s="84"/>
    </row>
    <row r="347">
      <c r="A347" s="84"/>
    </row>
    <row r="348">
      <c r="A348" s="84"/>
    </row>
    <row r="349">
      <c r="A349" s="84"/>
    </row>
    <row r="350">
      <c r="A350" s="84"/>
    </row>
    <row r="351">
      <c r="A351" s="84"/>
    </row>
    <row r="352">
      <c r="A352" s="84"/>
    </row>
    <row r="353">
      <c r="A353" s="84"/>
    </row>
    <row r="354">
      <c r="A354" s="84"/>
    </row>
    <row r="355">
      <c r="A355" s="84"/>
    </row>
    <row r="356">
      <c r="A356" s="84"/>
    </row>
    <row r="357">
      <c r="A357" s="84"/>
    </row>
    <row r="358">
      <c r="A358" s="84"/>
    </row>
    <row r="359">
      <c r="A359" s="84"/>
    </row>
    <row r="360">
      <c r="A360" s="84"/>
    </row>
    <row r="361">
      <c r="A361" s="84"/>
    </row>
    <row r="362">
      <c r="A362" s="84"/>
    </row>
    <row r="363">
      <c r="A363" s="84"/>
    </row>
    <row r="364">
      <c r="A364" s="84"/>
    </row>
    <row r="365">
      <c r="A365" s="84"/>
    </row>
    <row r="366">
      <c r="A366" s="84"/>
    </row>
    <row r="367">
      <c r="A367" s="84"/>
    </row>
    <row r="368">
      <c r="A368" s="84"/>
    </row>
    <row r="369">
      <c r="A369" s="84"/>
    </row>
    <row r="370">
      <c r="A370" s="84"/>
    </row>
    <row r="371">
      <c r="A371" s="84"/>
    </row>
    <row r="372">
      <c r="A372" s="84"/>
    </row>
    <row r="373">
      <c r="A373" s="84"/>
    </row>
    <row r="374">
      <c r="A374" s="84"/>
    </row>
    <row r="375">
      <c r="A375" s="84"/>
    </row>
    <row r="376">
      <c r="A376" s="84"/>
    </row>
    <row r="377">
      <c r="A377" s="84"/>
    </row>
    <row r="378">
      <c r="A378" s="84"/>
    </row>
    <row r="379">
      <c r="A379" s="84"/>
    </row>
    <row r="380">
      <c r="A380" s="84"/>
    </row>
    <row r="381">
      <c r="A381" s="84"/>
    </row>
    <row r="382">
      <c r="A382" s="84"/>
    </row>
    <row r="383">
      <c r="A383" s="84"/>
    </row>
    <row r="384">
      <c r="A384" s="84"/>
    </row>
    <row r="385">
      <c r="A385" s="84"/>
    </row>
    <row r="386">
      <c r="A386" s="84"/>
    </row>
    <row r="387">
      <c r="A387" s="84"/>
    </row>
    <row r="388">
      <c r="A388" s="84"/>
    </row>
    <row r="389">
      <c r="A389" s="84"/>
    </row>
    <row r="390">
      <c r="A390" s="84"/>
    </row>
    <row r="391">
      <c r="A391" s="84"/>
    </row>
    <row r="392">
      <c r="A392" s="84"/>
    </row>
    <row r="393">
      <c r="A393" s="84"/>
    </row>
    <row r="394">
      <c r="A394" s="84"/>
    </row>
    <row r="395">
      <c r="A395" s="84"/>
    </row>
    <row r="396">
      <c r="A396" s="84"/>
    </row>
    <row r="397">
      <c r="A397" s="84"/>
    </row>
    <row r="398">
      <c r="A398" s="84"/>
    </row>
    <row r="399">
      <c r="A399" s="84"/>
    </row>
    <row r="400">
      <c r="A400" s="84"/>
    </row>
    <row r="401">
      <c r="A401" s="84"/>
    </row>
    <row r="402">
      <c r="A402" s="84"/>
    </row>
    <row r="403">
      <c r="A403" s="84"/>
    </row>
    <row r="404">
      <c r="A404" s="84"/>
    </row>
    <row r="405">
      <c r="A405" s="84"/>
    </row>
    <row r="406">
      <c r="A406" s="84"/>
    </row>
    <row r="407">
      <c r="A407" s="84"/>
    </row>
    <row r="408">
      <c r="A408" s="84"/>
    </row>
    <row r="409">
      <c r="A409" s="84"/>
    </row>
    <row r="410">
      <c r="A410" s="84"/>
    </row>
    <row r="411">
      <c r="A411" s="84"/>
    </row>
    <row r="412">
      <c r="A412" s="84"/>
    </row>
    <row r="413">
      <c r="A413" s="84"/>
    </row>
    <row r="414">
      <c r="A414" s="84"/>
    </row>
    <row r="415">
      <c r="A415" s="84"/>
    </row>
    <row r="416">
      <c r="A416" s="84"/>
    </row>
    <row r="417">
      <c r="A417" s="84"/>
    </row>
    <row r="418">
      <c r="A418" s="84"/>
    </row>
    <row r="419">
      <c r="A419" s="84"/>
    </row>
    <row r="420">
      <c r="A420" s="84"/>
    </row>
    <row r="421">
      <c r="A421" s="84"/>
    </row>
    <row r="422">
      <c r="A422" s="84"/>
    </row>
    <row r="423">
      <c r="A423" s="84"/>
    </row>
    <row r="424">
      <c r="A424" s="84"/>
    </row>
    <row r="425">
      <c r="A425" s="84"/>
    </row>
    <row r="426">
      <c r="A426" s="84"/>
    </row>
    <row r="427">
      <c r="A427" s="84"/>
    </row>
    <row r="428">
      <c r="A428" s="84"/>
    </row>
    <row r="429">
      <c r="A429" s="84"/>
    </row>
    <row r="430">
      <c r="A430" s="84"/>
    </row>
    <row r="431">
      <c r="A431" s="84"/>
    </row>
    <row r="432">
      <c r="A432" s="84"/>
    </row>
    <row r="433">
      <c r="A433" s="84"/>
    </row>
    <row r="434">
      <c r="A434" s="84"/>
    </row>
    <row r="435">
      <c r="A435" s="84"/>
    </row>
    <row r="436">
      <c r="A436" s="84"/>
    </row>
    <row r="437">
      <c r="A437" s="84"/>
    </row>
    <row r="438">
      <c r="A438" s="84"/>
    </row>
    <row r="439">
      <c r="A439" s="84"/>
    </row>
    <row r="440">
      <c r="A440" s="84"/>
    </row>
    <row r="441">
      <c r="A441" s="84"/>
    </row>
    <row r="442">
      <c r="A442" s="84"/>
    </row>
    <row r="443">
      <c r="A443" s="84"/>
    </row>
    <row r="444">
      <c r="A444" s="84"/>
    </row>
    <row r="445">
      <c r="A445" s="84"/>
    </row>
    <row r="446">
      <c r="A446" s="84"/>
    </row>
    <row r="447">
      <c r="A447" s="84"/>
    </row>
    <row r="448">
      <c r="A448" s="84"/>
    </row>
    <row r="449">
      <c r="A449" s="84"/>
    </row>
    <row r="450">
      <c r="A450" s="84"/>
    </row>
    <row r="451">
      <c r="A451" s="84"/>
    </row>
    <row r="452">
      <c r="A452" s="84"/>
    </row>
    <row r="453">
      <c r="A453" s="84"/>
    </row>
    <row r="454">
      <c r="A454" s="84"/>
    </row>
    <row r="455">
      <c r="A455" s="84"/>
    </row>
    <row r="456">
      <c r="A456" s="84"/>
    </row>
    <row r="457">
      <c r="A457" s="84"/>
    </row>
    <row r="458">
      <c r="A458" s="84"/>
    </row>
    <row r="459">
      <c r="A459" s="84"/>
    </row>
    <row r="460">
      <c r="A460" s="84"/>
    </row>
    <row r="461">
      <c r="A461" s="84"/>
    </row>
    <row r="462">
      <c r="A462" s="84"/>
    </row>
    <row r="463">
      <c r="A463" s="84"/>
    </row>
    <row r="464">
      <c r="A464" s="84"/>
    </row>
    <row r="465">
      <c r="A465" s="84"/>
    </row>
    <row r="466">
      <c r="A466" s="84"/>
    </row>
    <row r="467">
      <c r="A467" s="84"/>
    </row>
    <row r="468">
      <c r="A468" s="84"/>
    </row>
    <row r="469">
      <c r="A469" s="84"/>
    </row>
    <row r="470">
      <c r="A470" s="84"/>
    </row>
    <row r="471">
      <c r="A471" s="84"/>
    </row>
    <row r="472">
      <c r="A472" s="84"/>
    </row>
    <row r="473">
      <c r="A473" s="84"/>
    </row>
    <row r="474">
      <c r="A474" s="84"/>
    </row>
    <row r="475">
      <c r="A475" s="84"/>
    </row>
    <row r="476">
      <c r="A476" s="84"/>
    </row>
    <row r="477">
      <c r="A477" s="84"/>
    </row>
    <row r="478">
      <c r="A478" s="84"/>
    </row>
    <row r="479">
      <c r="A479" s="84"/>
    </row>
    <row r="480">
      <c r="A480" s="84"/>
    </row>
    <row r="481">
      <c r="A481" s="84"/>
    </row>
    <row r="482">
      <c r="A482" s="84"/>
    </row>
    <row r="483">
      <c r="A483" s="84"/>
    </row>
    <row r="484">
      <c r="A484" s="84"/>
    </row>
    <row r="485">
      <c r="A485" s="84"/>
    </row>
    <row r="486">
      <c r="A486" s="84"/>
    </row>
    <row r="487">
      <c r="A487" s="84"/>
    </row>
    <row r="488">
      <c r="A488" s="84"/>
    </row>
    <row r="489">
      <c r="A489" s="84"/>
    </row>
    <row r="490">
      <c r="A490" s="84"/>
    </row>
    <row r="491">
      <c r="A491" s="84"/>
    </row>
    <row r="492">
      <c r="A492" s="84"/>
    </row>
    <row r="493">
      <c r="A493" s="84"/>
    </row>
    <row r="494">
      <c r="A494" s="84"/>
    </row>
    <row r="495">
      <c r="A495" s="84"/>
    </row>
    <row r="496">
      <c r="A496" s="84"/>
    </row>
    <row r="497">
      <c r="A497" s="84"/>
    </row>
    <row r="498">
      <c r="A498" s="84"/>
    </row>
    <row r="499">
      <c r="A499" s="84"/>
    </row>
    <row r="500">
      <c r="A500" s="84"/>
    </row>
    <row r="501">
      <c r="A501" s="84"/>
    </row>
    <row r="502">
      <c r="A502" s="84"/>
    </row>
    <row r="503">
      <c r="A503" s="84"/>
    </row>
    <row r="504">
      <c r="A504" s="84"/>
    </row>
    <row r="505">
      <c r="A505" s="84"/>
    </row>
    <row r="506">
      <c r="A506" s="84"/>
    </row>
    <row r="507">
      <c r="A507" s="84"/>
    </row>
    <row r="508">
      <c r="A508" s="84"/>
    </row>
    <row r="509">
      <c r="A509" s="84"/>
    </row>
    <row r="510">
      <c r="A510" s="84"/>
    </row>
    <row r="511">
      <c r="A511" s="84"/>
    </row>
    <row r="512">
      <c r="A512" s="84"/>
    </row>
    <row r="513">
      <c r="A513" s="84"/>
    </row>
    <row r="514">
      <c r="A514" s="84"/>
    </row>
    <row r="515">
      <c r="A515" s="84"/>
    </row>
    <row r="516">
      <c r="A516" s="84"/>
    </row>
    <row r="517">
      <c r="A517" s="84"/>
    </row>
    <row r="518">
      <c r="A518" s="84"/>
    </row>
    <row r="519">
      <c r="A519" s="84"/>
    </row>
    <row r="520">
      <c r="A520" s="84"/>
    </row>
    <row r="521">
      <c r="A521" s="84"/>
    </row>
    <row r="522">
      <c r="A522" s="84"/>
    </row>
    <row r="523">
      <c r="A523" s="84"/>
    </row>
    <row r="524">
      <c r="A524" s="84"/>
    </row>
    <row r="525">
      <c r="A525" s="84"/>
    </row>
    <row r="526">
      <c r="A526" s="84"/>
    </row>
    <row r="527">
      <c r="A527" s="84"/>
    </row>
    <row r="528">
      <c r="A528" s="84"/>
    </row>
    <row r="529">
      <c r="A529" s="84"/>
    </row>
    <row r="530">
      <c r="A530" s="84"/>
    </row>
    <row r="531">
      <c r="A531" s="84"/>
    </row>
    <row r="532">
      <c r="A532" s="84"/>
    </row>
    <row r="533">
      <c r="A533" s="84"/>
    </row>
    <row r="534">
      <c r="A534" s="84"/>
    </row>
    <row r="535">
      <c r="A535" s="84"/>
    </row>
    <row r="536">
      <c r="A536" s="84"/>
    </row>
    <row r="537">
      <c r="A537" s="84"/>
    </row>
    <row r="538">
      <c r="A538" s="84"/>
    </row>
    <row r="539">
      <c r="A539" s="84"/>
    </row>
    <row r="540">
      <c r="A540" s="84"/>
    </row>
    <row r="541">
      <c r="A541" s="84"/>
    </row>
    <row r="542">
      <c r="A542" s="84"/>
    </row>
    <row r="543">
      <c r="A543" s="84"/>
    </row>
    <row r="544">
      <c r="A544" s="84"/>
    </row>
    <row r="545">
      <c r="A545" s="84"/>
    </row>
    <row r="546">
      <c r="A546" s="84"/>
    </row>
    <row r="547">
      <c r="A547" s="84"/>
    </row>
    <row r="548">
      <c r="A548" s="84"/>
    </row>
    <row r="549">
      <c r="A549" s="84"/>
    </row>
    <row r="550">
      <c r="A550" s="84"/>
    </row>
    <row r="551">
      <c r="A551" s="84"/>
    </row>
    <row r="552">
      <c r="A552" s="84"/>
    </row>
    <row r="553">
      <c r="A553" s="84"/>
    </row>
    <row r="554">
      <c r="A554" s="84"/>
    </row>
    <row r="555">
      <c r="A555" s="84"/>
    </row>
    <row r="556">
      <c r="A556" s="84"/>
    </row>
    <row r="557">
      <c r="A557" s="84"/>
    </row>
    <row r="558">
      <c r="A558" s="84"/>
    </row>
    <row r="559">
      <c r="A559" s="84"/>
    </row>
    <row r="560">
      <c r="A560" s="84"/>
    </row>
    <row r="561">
      <c r="A561" s="84"/>
    </row>
    <row r="562">
      <c r="A562" s="84"/>
    </row>
    <row r="563">
      <c r="A563" s="84"/>
    </row>
    <row r="564">
      <c r="A564" s="84"/>
    </row>
    <row r="565">
      <c r="A565" s="84"/>
    </row>
    <row r="566">
      <c r="A566" s="84"/>
    </row>
    <row r="567">
      <c r="A567" s="84"/>
    </row>
    <row r="568">
      <c r="A568" s="84"/>
    </row>
    <row r="569">
      <c r="A569" s="84"/>
    </row>
    <row r="570">
      <c r="A570" s="84"/>
    </row>
    <row r="571">
      <c r="A571" s="84"/>
    </row>
    <row r="572">
      <c r="A572" s="84"/>
    </row>
    <row r="573">
      <c r="A573" s="84"/>
    </row>
    <row r="574">
      <c r="A574" s="84"/>
    </row>
    <row r="575">
      <c r="A575" s="84"/>
    </row>
    <row r="576">
      <c r="A576" s="84"/>
    </row>
    <row r="577">
      <c r="A577" s="84"/>
    </row>
    <row r="578">
      <c r="A578" s="84"/>
    </row>
    <row r="579">
      <c r="A579" s="84"/>
    </row>
    <row r="580">
      <c r="A580" s="84"/>
    </row>
    <row r="581">
      <c r="A581" s="84"/>
    </row>
    <row r="582">
      <c r="A582" s="84"/>
    </row>
    <row r="583">
      <c r="A583" s="84"/>
    </row>
    <row r="584">
      <c r="A584" s="84"/>
    </row>
    <row r="585">
      <c r="A585" s="84"/>
    </row>
    <row r="586">
      <c r="A586" s="84"/>
    </row>
    <row r="587">
      <c r="A587" s="84"/>
    </row>
    <row r="588">
      <c r="A588" s="84"/>
    </row>
    <row r="589">
      <c r="A589" s="84"/>
    </row>
    <row r="590">
      <c r="A590" s="84"/>
    </row>
    <row r="591">
      <c r="A591" s="84"/>
    </row>
    <row r="592">
      <c r="A592" s="84"/>
    </row>
    <row r="593">
      <c r="A593" s="84"/>
    </row>
    <row r="594">
      <c r="A594" s="84"/>
    </row>
    <row r="595">
      <c r="A595" s="84"/>
    </row>
    <row r="596">
      <c r="A596" s="84"/>
    </row>
    <row r="597">
      <c r="A597" s="84"/>
    </row>
    <row r="598">
      <c r="A598" s="84"/>
    </row>
    <row r="599">
      <c r="A599" s="84"/>
    </row>
    <row r="600">
      <c r="A600" s="84"/>
    </row>
    <row r="601">
      <c r="A601" s="84"/>
    </row>
    <row r="602">
      <c r="A602" s="84"/>
    </row>
    <row r="603">
      <c r="A603" s="84"/>
    </row>
    <row r="604">
      <c r="A604" s="84"/>
    </row>
    <row r="605">
      <c r="A605" s="84"/>
    </row>
    <row r="606">
      <c r="A606" s="84"/>
    </row>
    <row r="607">
      <c r="A607" s="84"/>
    </row>
    <row r="608">
      <c r="A608" s="84"/>
    </row>
    <row r="609">
      <c r="A609" s="84"/>
    </row>
    <row r="610">
      <c r="A610" s="84"/>
    </row>
    <row r="611">
      <c r="A611" s="84"/>
    </row>
    <row r="612">
      <c r="A612" s="84"/>
    </row>
    <row r="613">
      <c r="A613" s="84"/>
    </row>
    <row r="614">
      <c r="A614" s="84"/>
    </row>
    <row r="615">
      <c r="A615" s="84"/>
    </row>
    <row r="616">
      <c r="A616" s="84"/>
    </row>
    <row r="617">
      <c r="A617" s="84"/>
    </row>
    <row r="618">
      <c r="A618" s="84"/>
    </row>
    <row r="619">
      <c r="A619" s="84"/>
    </row>
    <row r="620">
      <c r="A620" s="84"/>
    </row>
    <row r="621">
      <c r="A621" s="84"/>
    </row>
    <row r="622">
      <c r="A622" s="84"/>
    </row>
    <row r="623">
      <c r="A623" s="84"/>
    </row>
    <row r="624">
      <c r="A624" s="84"/>
    </row>
    <row r="625">
      <c r="A625" s="84"/>
    </row>
    <row r="626">
      <c r="A626" s="84"/>
    </row>
    <row r="627">
      <c r="A627" s="84"/>
    </row>
    <row r="628">
      <c r="A628" s="84"/>
    </row>
    <row r="629">
      <c r="A629" s="84"/>
    </row>
    <row r="630">
      <c r="A630" s="84"/>
    </row>
    <row r="631">
      <c r="A631" s="84"/>
    </row>
    <row r="632">
      <c r="A632" s="84"/>
    </row>
    <row r="633">
      <c r="A633" s="84"/>
    </row>
    <row r="634">
      <c r="A634" s="84"/>
    </row>
    <row r="635">
      <c r="A635" s="84"/>
    </row>
    <row r="636">
      <c r="A636" s="84"/>
    </row>
    <row r="637">
      <c r="A637" s="84"/>
    </row>
    <row r="638">
      <c r="A638" s="84"/>
    </row>
    <row r="639">
      <c r="A639" s="84"/>
    </row>
    <row r="640">
      <c r="A640" s="84"/>
    </row>
    <row r="641">
      <c r="A641" s="84"/>
    </row>
    <row r="642">
      <c r="A642" s="84"/>
    </row>
    <row r="643">
      <c r="A643" s="84"/>
    </row>
    <row r="644">
      <c r="A644" s="84"/>
    </row>
    <row r="645">
      <c r="A645" s="84"/>
    </row>
    <row r="646">
      <c r="A646" s="84"/>
    </row>
    <row r="647">
      <c r="A647" s="84"/>
    </row>
    <row r="648">
      <c r="A648" s="84"/>
    </row>
    <row r="649">
      <c r="A649" s="84"/>
    </row>
    <row r="650">
      <c r="A650" s="84"/>
    </row>
    <row r="651">
      <c r="A651" s="84"/>
    </row>
    <row r="652">
      <c r="A652" s="84"/>
    </row>
    <row r="653">
      <c r="A653" s="84"/>
    </row>
    <row r="654">
      <c r="A654" s="84"/>
    </row>
    <row r="655">
      <c r="A655" s="84"/>
    </row>
    <row r="656">
      <c r="A656" s="84"/>
    </row>
    <row r="657">
      <c r="A657" s="84"/>
    </row>
    <row r="658">
      <c r="A658" s="84"/>
    </row>
    <row r="659">
      <c r="A659" s="84"/>
    </row>
    <row r="660">
      <c r="A660" s="84"/>
    </row>
    <row r="661">
      <c r="A661" s="84"/>
    </row>
    <row r="662">
      <c r="A662" s="84"/>
    </row>
    <row r="663">
      <c r="A663" s="84"/>
    </row>
    <row r="664">
      <c r="A664" s="84"/>
    </row>
    <row r="665">
      <c r="A665" s="84"/>
    </row>
    <row r="666">
      <c r="A666" s="84"/>
    </row>
    <row r="667">
      <c r="A667" s="84"/>
    </row>
    <row r="668">
      <c r="A668" s="84"/>
    </row>
    <row r="669">
      <c r="A669" s="84"/>
    </row>
    <row r="670">
      <c r="A670" s="84"/>
    </row>
    <row r="671">
      <c r="A671" s="84"/>
    </row>
    <row r="672">
      <c r="A672" s="84"/>
    </row>
    <row r="673">
      <c r="A673" s="84"/>
    </row>
    <row r="674">
      <c r="A674" s="84"/>
    </row>
    <row r="675">
      <c r="A675" s="84"/>
    </row>
    <row r="676">
      <c r="A676" s="84"/>
    </row>
    <row r="677">
      <c r="A677" s="84"/>
    </row>
    <row r="678">
      <c r="A678" s="84"/>
    </row>
    <row r="679">
      <c r="A679" s="84"/>
    </row>
    <row r="680">
      <c r="A680" s="84"/>
    </row>
    <row r="681">
      <c r="A681" s="84"/>
    </row>
    <row r="682">
      <c r="A682" s="84"/>
    </row>
    <row r="683">
      <c r="A683" s="84"/>
    </row>
    <row r="684">
      <c r="A684" s="84"/>
    </row>
    <row r="685">
      <c r="A685" s="84"/>
    </row>
    <row r="686">
      <c r="A686" s="84"/>
    </row>
    <row r="687">
      <c r="A687" s="84"/>
    </row>
    <row r="688">
      <c r="A688" s="84"/>
    </row>
    <row r="689">
      <c r="A689" s="84"/>
    </row>
    <row r="690">
      <c r="A690" s="84"/>
    </row>
    <row r="691">
      <c r="A691" s="84"/>
    </row>
    <row r="692">
      <c r="A692" s="84"/>
    </row>
    <row r="693">
      <c r="A693" s="84"/>
    </row>
    <row r="694">
      <c r="A694" s="84"/>
    </row>
    <row r="695">
      <c r="A695" s="84"/>
    </row>
    <row r="696">
      <c r="A696" s="84"/>
    </row>
    <row r="697">
      <c r="A697" s="84"/>
    </row>
    <row r="698">
      <c r="A698" s="84"/>
    </row>
    <row r="699">
      <c r="A699" s="84"/>
    </row>
    <row r="700">
      <c r="A700" s="84"/>
    </row>
    <row r="701">
      <c r="A701" s="84"/>
    </row>
    <row r="702">
      <c r="A702" s="84"/>
    </row>
    <row r="703">
      <c r="A703" s="84"/>
    </row>
    <row r="704">
      <c r="A704" s="84"/>
    </row>
    <row r="705">
      <c r="A705" s="84"/>
    </row>
    <row r="706">
      <c r="A706" s="84"/>
    </row>
    <row r="707">
      <c r="A707" s="84"/>
    </row>
    <row r="708">
      <c r="A708" s="84"/>
    </row>
    <row r="709">
      <c r="A709" s="84"/>
    </row>
    <row r="710">
      <c r="A710" s="84"/>
    </row>
    <row r="711">
      <c r="A711" s="84"/>
    </row>
    <row r="712">
      <c r="A712" s="84"/>
    </row>
    <row r="713">
      <c r="A713" s="84"/>
    </row>
    <row r="714">
      <c r="A714" s="84"/>
    </row>
    <row r="715">
      <c r="A715" s="84"/>
    </row>
    <row r="716">
      <c r="A716" s="84"/>
    </row>
    <row r="717">
      <c r="A717" s="84"/>
    </row>
    <row r="718">
      <c r="A718" s="84"/>
    </row>
    <row r="719">
      <c r="A719" s="84"/>
    </row>
    <row r="720">
      <c r="A720" s="84"/>
    </row>
    <row r="721">
      <c r="A721" s="84"/>
    </row>
    <row r="722">
      <c r="A722" s="84"/>
    </row>
    <row r="723">
      <c r="A723" s="84"/>
    </row>
    <row r="724">
      <c r="A724" s="84"/>
    </row>
    <row r="725">
      <c r="A725" s="84"/>
    </row>
    <row r="726">
      <c r="A726" s="84"/>
    </row>
    <row r="727">
      <c r="A727" s="84"/>
    </row>
    <row r="728">
      <c r="A728" s="84"/>
    </row>
    <row r="729">
      <c r="A729" s="84"/>
    </row>
    <row r="730">
      <c r="A730" s="84"/>
    </row>
    <row r="731">
      <c r="A731" s="84"/>
    </row>
    <row r="732">
      <c r="A732" s="84"/>
    </row>
    <row r="733">
      <c r="A733" s="84"/>
    </row>
    <row r="734">
      <c r="A734" s="84"/>
    </row>
    <row r="735">
      <c r="A735" s="84"/>
    </row>
    <row r="736">
      <c r="A736" s="84"/>
    </row>
    <row r="737">
      <c r="A737" s="84"/>
    </row>
    <row r="738">
      <c r="A738" s="84"/>
    </row>
    <row r="739">
      <c r="A739" s="84"/>
    </row>
    <row r="740">
      <c r="A740" s="84"/>
    </row>
    <row r="741">
      <c r="A741" s="84"/>
    </row>
    <row r="742">
      <c r="A742" s="84"/>
    </row>
    <row r="743">
      <c r="A743" s="84"/>
    </row>
    <row r="744">
      <c r="A744" s="84"/>
    </row>
    <row r="745">
      <c r="A745" s="84"/>
    </row>
    <row r="746">
      <c r="A746" s="84"/>
    </row>
    <row r="747">
      <c r="A747" s="84"/>
    </row>
    <row r="748">
      <c r="A748" s="84"/>
    </row>
    <row r="749">
      <c r="A749" s="84"/>
    </row>
    <row r="750">
      <c r="A750" s="84"/>
    </row>
    <row r="751">
      <c r="A751" s="84"/>
    </row>
    <row r="752">
      <c r="A752" s="84"/>
    </row>
    <row r="753">
      <c r="A753" s="84"/>
    </row>
    <row r="754">
      <c r="A754" s="84"/>
    </row>
    <row r="755">
      <c r="A755" s="84"/>
    </row>
    <row r="756">
      <c r="A756" s="84"/>
    </row>
    <row r="757">
      <c r="A757" s="84"/>
    </row>
    <row r="758">
      <c r="A758" s="84"/>
    </row>
    <row r="759">
      <c r="A759" s="84"/>
    </row>
    <row r="760">
      <c r="A760" s="84"/>
    </row>
    <row r="761">
      <c r="A761" s="84"/>
    </row>
    <row r="762">
      <c r="A762" s="84"/>
    </row>
    <row r="763">
      <c r="A763" s="84"/>
    </row>
    <row r="764">
      <c r="A764" s="84"/>
    </row>
    <row r="765">
      <c r="A765" s="84"/>
    </row>
    <row r="766">
      <c r="A766" s="84"/>
    </row>
    <row r="767">
      <c r="A767" s="84"/>
    </row>
    <row r="768">
      <c r="A768" s="84"/>
    </row>
    <row r="769">
      <c r="A769" s="84"/>
    </row>
    <row r="770">
      <c r="A770" s="84"/>
    </row>
    <row r="771">
      <c r="A771" s="84"/>
    </row>
    <row r="772">
      <c r="A772" s="84"/>
    </row>
    <row r="773">
      <c r="A773" s="84"/>
    </row>
    <row r="774">
      <c r="A774" s="84"/>
    </row>
    <row r="775">
      <c r="A775" s="84"/>
    </row>
    <row r="776">
      <c r="A776" s="84"/>
    </row>
    <row r="777">
      <c r="A777" s="84"/>
    </row>
    <row r="778">
      <c r="A778" s="84"/>
    </row>
    <row r="779">
      <c r="A779" s="84"/>
    </row>
    <row r="780">
      <c r="A780" s="84"/>
    </row>
    <row r="781">
      <c r="A781" s="84"/>
    </row>
    <row r="782">
      <c r="A782" s="84"/>
    </row>
    <row r="783">
      <c r="A783" s="84"/>
    </row>
    <row r="784">
      <c r="A784" s="84"/>
    </row>
    <row r="785">
      <c r="A785" s="84"/>
    </row>
    <row r="786">
      <c r="A786" s="84"/>
    </row>
    <row r="787">
      <c r="A787" s="84"/>
    </row>
    <row r="788">
      <c r="A788" s="84"/>
    </row>
    <row r="789">
      <c r="A789" s="84"/>
    </row>
    <row r="790">
      <c r="A790" s="84"/>
    </row>
    <row r="791">
      <c r="A791" s="84"/>
    </row>
    <row r="792">
      <c r="A792" s="84"/>
    </row>
    <row r="793">
      <c r="A793" s="84"/>
    </row>
    <row r="794">
      <c r="A794" s="84"/>
    </row>
    <row r="795">
      <c r="A795" s="84"/>
    </row>
    <row r="796">
      <c r="A796" s="84"/>
    </row>
    <row r="797">
      <c r="A797" s="84"/>
    </row>
    <row r="798">
      <c r="A798" s="84"/>
    </row>
    <row r="799">
      <c r="A799" s="84"/>
    </row>
    <row r="800">
      <c r="A800" s="84"/>
    </row>
    <row r="801">
      <c r="A801" s="84"/>
    </row>
    <row r="802">
      <c r="A802" s="84"/>
    </row>
    <row r="803">
      <c r="A803" s="84"/>
    </row>
    <row r="804">
      <c r="A804" s="84"/>
    </row>
    <row r="805">
      <c r="A805" s="84"/>
    </row>
    <row r="806">
      <c r="A806" s="84"/>
    </row>
    <row r="807">
      <c r="A807" s="84"/>
    </row>
    <row r="808">
      <c r="A808" s="84"/>
    </row>
    <row r="809">
      <c r="A809" s="84"/>
    </row>
    <row r="810">
      <c r="A810" s="84"/>
    </row>
    <row r="811">
      <c r="A811" s="84"/>
    </row>
    <row r="812">
      <c r="A812" s="84"/>
    </row>
    <row r="813">
      <c r="A813" s="84"/>
    </row>
    <row r="814">
      <c r="A814" s="84"/>
    </row>
    <row r="815">
      <c r="A815" s="84"/>
    </row>
    <row r="816">
      <c r="A816" s="84"/>
    </row>
    <row r="817">
      <c r="A817" s="84"/>
    </row>
    <row r="818">
      <c r="A818" s="84"/>
    </row>
    <row r="819">
      <c r="A819" s="84"/>
    </row>
    <row r="820">
      <c r="A820" s="84"/>
    </row>
    <row r="821">
      <c r="A821" s="84"/>
    </row>
    <row r="822">
      <c r="A822" s="84"/>
    </row>
    <row r="823">
      <c r="A823" s="84"/>
    </row>
    <row r="824">
      <c r="A824" s="84"/>
    </row>
    <row r="825">
      <c r="A825" s="84"/>
    </row>
    <row r="826">
      <c r="A826" s="84"/>
    </row>
    <row r="827">
      <c r="A827" s="84"/>
    </row>
    <row r="828">
      <c r="A828" s="84"/>
    </row>
    <row r="829">
      <c r="A829" s="84"/>
    </row>
    <row r="830">
      <c r="A830" s="84"/>
    </row>
    <row r="831">
      <c r="A831" s="84"/>
    </row>
    <row r="832">
      <c r="A832" s="84"/>
    </row>
    <row r="833">
      <c r="A833" s="84"/>
    </row>
    <row r="834">
      <c r="A834" s="84"/>
    </row>
    <row r="835">
      <c r="A835" s="84"/>
    </row>
    <row r="836">
      <c r="A836" s="84"/>
    </row>
    <row r="837">
      <c r="A837" s="84"/>
    </row>
    <row r="838">
      <c r="A838" s="84"/>
    </row>
    <row r="839">
      <c r="A839" s="84"/>
    </row>
    <row r="840">
      <c r="A840" s="84"/>
    </row>
    <row r="841">
      <c r="A841" s="84"/>
    </row>
    <row r="842">
      <c r="A842" s="84"/>
    </row>
    <row r="843">
      <c r="A843" s="84"/>
    </row>
    <row r="844">
      <c r="A844" s="84"/>
    </row>
    <row r="845">
      <c r="A845" s="84"/>
    </row>
    <row r="846">
      <c r="A846" s="84"/>
    </row>
    <row r="847">
      <c r="A847" s="84"/>
    </row>
    <row r="848">
      <c r="A848" s="84"/>
    </row>
    <row r="849">
      <c r="A849" s="84"/>
    </row>
    <row r="850">
      <c r="A850" s="84"/>
    </row>
    <row r="851">
      <c r="A851" s="84"/>
    </row>
    <row r="852">
      <c r="A852" s="84"/>
    </row>
    <row r="853">
      <c r="A853" s="84"/>
    </row>
    <row r="854">
      <c r="A854" s="84"/>
    </row>
    <row r="855">
      <c r="A855" s="84"/>
    </row>
    <row r="856">
      <c r="A856" s="84"/>
    </row>
    <row r="857">
      <c r="A857" s="84"/>
    </row>
    <row r="858">
      <c r="A858" s="84"/>
    </row>
    <row r="859">
      <c r="A859" s="84"/>
    </row>
    <row r="860">
      <c r="A860" s="84"/>
    </row>
    <row r="861">
      <c r="A861" s="84"/>
    </row>
    <row r="862">
      <c r="A862" s="84"/>
    </row>
    <row r="863">
      <c r="A863" s="84"/>
    </row>
    <row r="864">
      <c r="A864" s="84"/>
    </row>
    <row r="865">
      <c r="A865" s="84"/>
    </row>
    <row r="866">
      <c r="A866" s="84"/>
    </row>
    <row r="867">
      <c r="A867" s="84"/>
    </row>
    <row r="868">
      <c r="A868" s="84"/>
    </row>
    <row r="869">
      <c r="A869" s="84"/>
    </row>
    <row r="870">
      <c r="A870" s="84"/>
    </row>
    <row r="871">
      <c r="A871" s="84"/>
    </row>
    <row r="872">
      <c r="A872" s="84"/>
    </row>
    <row r="873">
      <c r="A873" s="84"/>
    </row>
    <row r="874">
      <c r="A874" s="84"/>
    </row>
    <row r="875">
      <c r="A875" s="84"/>
    </row>
    <row r="876">
      <c r="A876" s="84"/>
    </row>
    <row r="877">
      <c r="A877" s="84"/>
    </row>
    <row r="878">
      <c r="A878" s="84"/>
    </row>
    <row r="879">
      <c r="A879" s="84"/>
    </row>
    <row r="880">
      <c r="A880" s="84"/>
    </row>
    <row r="881">
      <c r="A881" s="84"/>
    </row>
    <row r="882">
      <c r="A882" s="84"/>
    </row>
    <row r="883">
      <c r="A883" s="84"/>
    </row>
    <row r="884">
      <c r="A884" s="84"/>
    </row>
    <row r="885">
      <c r="A885" s="84"/>
    </row>
    <row r="886">
      <c r="A886" s="84"/>
    </row>
    <row r="887">
      <c r="A887" s="84"/>
    </row>
    <row r="888">
      <c r="A888" s="84"/>
    </row>
    <row r="889">
      <c r="A889" s="84"/>
    </row>
    <row r="890">
      <c r="A890" s="84"/>
    </row>
    <row r="891">
      <c r="A891" s="84"/>
    </row>
    <row r="892">
      <c r="A892" s="84"/>
    </row>
    <row r="893">
      <c r="A893" s="84"/>
    </row>
    <row r="894">
      <c r="A894" s="84"/>
    </row>
    <row r="895">
      <c r="A895" s="84"/>
    </row>
    <row r="896">
      <c r="A896" s="84"/>
    </row>
    <row r="897">
      <c r="A897" s="84"/>
    </row>
    <row r="898">
      <c r="A898" s="84"/>
    </row>
    <row r="899">
      <c r="A899" s="84"/>
    </row>
    <row r="900">
      <c r="A900" s="84"/>
    </row>
    <row r="901">
      <c r="A901" s="84"/>
    </row>
    <row r="902">
      <c r="A902" s="84"/>
    </row>
    <row r="903">
      <c r="A903" s="84"/>
    </row>
    <row r="904">
      <c r="A904" s="84"/>
    </row>
    <row r="905">
      <c r="A905" s="84"/>
    </row>
    <row r="906">
      <c r="A906" s="84"/>
    </row>
    <row r="907">
      <c r="A907" s="84"/>
    </row>
    <row r="908">
      <c r="A908" s="84"/>
    </row>
    <row r="909">
      <c r="A909" s="84"/>
    </row>
    <row r="910">
      <c r="A910" s="84"/>
    </row>
    <row r="911">
      <c r="A911" s="84"/>
    </row>
    <row r="912">
      <c r="A912" s="84"/>
    </row>
    <row r="913">
      <c r="A913" s="84"/>
    </row>
    <row r="914">
      <c r="A914" s="84"/>
    </row>
    <row r="915">
      <c r="A915" s="84"/>
    </row>
    <row r="916">
      <c r="A916" s="84"/>
    </row>
    <row r="917">
      <c r="A917" s="84"/>
    </row>
    <row r="918">
      <c r="A918" s="84"/>
    </row>
    <row r="919">
      <c r="A919" s="84"/>
    </row>
    <row r="920">
      <c r="A920" s="84"/>
    </row>
    <row r="921">
      <c r="A921" s="84"/>
    </row>
    <row r="922">
      <c r="A922" s="84"/>
    </row>
    <row r="923">
      <c r="A923" s="84"/>
    </row>
    <row r="924">
      <c r="A924" s="84"/>
    </row>
    <row r="925">
      <c r="A925" s="84"/>
    </row>
    <row r="926">
      <c r="A926" s="84"/>
    </row>
    <row r="927">
      <c r="A927" s="84"/>
    </row>
    <row r="928">
      <c r="A928" s="84"/>
    </row>
    <row r="929">
      <c r="A929" s="84"/>
    </row>
    <row r="930">
      <c r="A930" s="84"/>
    </row>
    <row r="931">
      <c r="A931" s="84"/>
    </row>
    <row r="932">
      <c r="A932" s="84"/>
    </row>
    <row r="933">
      <c r="A933" s="84"/>
    </row>
    <row r="934">
      <c r="A934" s="84"/>
    </row>
    <row r="935">
      <c r="A935" s="84"/>
    </row>
    <row r="936">
      <c r="A936" s="84"/>
    </row>
    <row r="937">
      <c r="A937" s="84"/>
    </row>
    <row r="938">
      <c r="A938" s="84"/>
    </row>
    <row r="939">
      <c r="A939" s="84"/>
    </row>
    <row r="940">
      <c r="A940" s="84"/>
    </row>
    <row r="941">
      <c r="A941" s="84"/>
    </row>
    <row r="942">
      <c r="A942" s="84"/>
    </row>
    <row r="943">
      <c r="A943" s="84"/>
    </row>
    <row r="944">
      <c r="A944" s="84"/>
    </row>
    <row r="945">
      <c r="A945" s="84"/>
    </row>
    <row r="946">
      <c r="A946" s="84"/>
    </row>
    <row r="947">
      <c r="A947" s="84"/>
    </row>
    <row r="948">
      <c r="A948" s="84"/>
    </row>
    <row r="949">
      <c r="A949" s="84"/>
    </row>
    <row r="950">
      <c r="A950" s="84"/>
    </row>
    <row r="951">
      <c r="A951" s="84"/>
    </row>
    <row r="952">
      <c r="A952" s="84"/>
    </row>
    <row r="953">
      <c r="A953" s="84"/>
    </row>
    <row r="954">
      <c r="A954" s="84"/>
    </row>
    <row r="955">
      <c r="A955" s="84"/>
    </row>
    <row r="956">
      <c r="A956" s="84"/>
    </row>
    <row r="957">
      <c r="A957" s="84"/>
    </row>
    <row r="958">
      <c r="A958" s="84"/>
    </row>
    <row r="959">
      <c r="A959" s="84"/>
    </row>
    <row r="960">
      <c r="A960" s="84"/>
    </row>
    <row r="961">
      <c r="A961" s="84"/>
    </row>
    <row r="962">
      <c r="A962" s="84"/>
    </row>
    <row r="963">
      <c r="A963" s="84"/>
    </row>
    <row r="964">
      <c r="A964" s="84"/>
    </row>
    <row r="965">
      <c r="A965" s="84"/>
    </row>
    <row r="966">
      <c r="A966" s="84"/>
    </row>
    <row r="967">
      <c r="A967" s="84"/>
    </row>
    <row r="968">
      <c r="A968" s="84"/>
    </row>
    <row r="969">
      <c r="A969" s="84"/>
    </row>
    <row r="970">
      <c r="A970" s="84"/>
    </row>
    <row r="971">
      <c r="A971" s="84"/>
    </row>
    <row r="972">
      <c r="A972" s="84"/>
    </row>
    <row r="973">
      <c r="A973" s="84"/>
    </row>
    <row r="974">
      <c r="A974" s="84"/>
    </row>
    <row r="975">
      <c r="A975" s="84"/>
    </row>
    <row r="976">
      <c r="A976" s="84"/>
    </row>
    <row r="977">
      <c r="A977" s="84"/>
    </row>
    <row r="978">
      <c r="A978" s="84"/>
    </row>
    <row r="979">
      <c r="A979" s="84"/>
    </row>
    <row r="980">
      <c r="A980" s="84"/>
    </row>
    <row r="981">
      <c r="A981" s="84"/>
    </row>
    <row r="982">
      <c r="A982" s="84"/>
    </row>
    <row r="983">
      <c r="A983" s="84"/>
    </row>
    <row r="984">
      <c r="A984" s="84"/>
    </row>
    <row r="985">
      <c r="A985" s="84"/>
    </row>
    <row r="986">
      <c r="A986" s="84"/>
    </row>
    <row r="987">
      <c r="A987" s="84"/>
    </row>
    <row r="988">
      <c r="A988" s="84"/>
    </row>
    <row r="989">
      <c r="A989" s="84"/>
    </row>
    <row r="990">
      <c r="A990" s="84"/>
    </row>
    <row r="991">
      <c r="A991" s="84"/>
    </row>
    <row r="992">
      <c r="A992" s="84"/>
    </row>
    <row r="993">
      <c r="A993" s="84"/>
    </row>
    <row r="994">
      <c r="A994" s="84"/>
    </row>
    <row r="995">
      <c r="A995" s="84"/>
    </row>
    <row r="996">
      <c r="A996" s="84"/>
    </row>
    <row r="997">
      <c r="A997" s="84"/>
    </row>
    <row r="998">
      <c r="A998" s="84"/>
    </row>
    <row r="999">
      <c r="A999" s="84"/>
    </row>
    <row r="1000">
      <c r="A1000" s="84"/>
    </row>
    <row r="1001">
      <c r="A1001" s="84"/>
    </row>
    <row r="1002">
      <c r="A1002" s="84"/>
    </row>
    <row r="1003">
      <c r="A1003" s="84"/>
    </row>
    <row r="1004">
      <c r="A1004" s="84"/>
    </row>
    <row r="1005">
      <c r="A1005" s="84"/>
    </row>
    <row r="1006">
      <c r="A1006" s="84"/>
    </row>
  </sheetData>
  <mergeCells count="2">
    <mergeCell ref="B1:F1"/>
    <mergeCell ref="A2:A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6.75"/>
  </cols>
  <sheetData>
    <row r="1">
      <c r="A1" s="39"/>
      <c r="B1" s="121" t="s">
        <v>73</v>
      </c>
      <c r="G1" s="122" t="s">
        <v>101</v>
      </c>
    </row>
    <row r="2">
      <c r="A2" s="123" t="s">
        <v>75</v>
      </c>
      <c r="B2" s="44">
        <v>2021.0</v>
      </c>
      <c r="C2" s="44">
        <v>2020.0</v>
      </c>
      <c r="D2" s="44">
        <v>2019.0</v>
      </c>
      <c r="E2" s="44">
        <v>2018.0</v>
      </c>
      <c r="F2" s="45">
        <v>2017.0</v>
      </c>
      <c r="G2" s="44">
        <v>2021.0</v>
      </c>
      <c r="H2" s="44">
        <v>2020.0</v>
      </c>
      <c r="I2" s="44">
        <v>2019.0</v>
      </c>
      <c r="J2" s="44">
        <v>2018.0</v>
      </c>
      <c r="K2" s="44">
        <v>2017.0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B3" s="49" t="s">
        <v>76</v>
      </c>
      <c r="C3" s="49" t="s">
        <v>76</v>
      </c>
      <c r="D3" s="49" t="s">
        <v>76</v>
      </c>
      <c r="E3" s="49" t="s">
        <v>76</v>
      </c>
      <c r="F3" s="51" t="s">
        <v>76</v>
      </c>
      <c r="G3" s="49" t="s">
        <v>76</v>
      </c>
      <c r="H3" s="49" t="s">
        <v>76</v>
      </c>
      <c r="I3" s="49" t="s">
        <v>76</v>
      </c>
      <c r="J3" s="49" t="s">
        <v>76</v>
      </c>
      <c r="K3" s="49" t="s">
        <v>76</v>
      </c>
    </row>
    <row r="4">
      <c r="A4" s="43" t="s">
        <v>169</v>
      </c>
      <c r="B4" s="124">
        <f>'Income Statement'!B4</f>
        <v>4616900</v>
      </c>
      <c r="C4" s="124">
        <f>'Income Statement'!C4</f>
        <v>4039000</v>
      </c>
      <c r="D4" s="124">
        <f>'Income Statement'!D4</f>
        <v>4525600</v>
      </c>
      <c r="E4" s="124">
        <f>'Income Statement'!E4</f>
        <v>4332500</v>
      </c>
      <c r="F4" s="125">
        <f>'Income Statement'!F4</f>
        <v>4106100</v>
      </c>
      <c r="G4" s="124">
        <f>'Income Statement'!G4</f>
        <v>8971337</v>
      </c>
      <c r="H4" s="124">
        <f>'Income Statement'!H4</f>
        <v>8149719</v>
      </c>
      <c r="I4" s="124">
        <f>'Income Statement'!I4</f>
        <v>7986252</v>
      </c>
      <c r="J4" s="124">
        <f>'Income Statement'!J4</f>
        <v>7791069</v>
      </c>
      <c r="K4" s="124">
        <f>'Income Statement'!K4</f>
        <v>7515426</v>
      </c>
    </row>
    <row r="5">
      <c r="A5" s="43" t="s">
        <v>170</v>
      </c>
      <c r="B5" s="97">
        <f>'Income Statement'!B6</f>
        <v>2112800</v>
      </c>
      <c r="C5" s="97">
        <f>'Income Statement'!C6</f>
        <v>1732000</v>
      </c>
      <c r="D5" s="97">
        <f>'Income Statement'!D6</f>
        <v>2029100</v>
      </c>
      <c r="E5" s="97">
        <f>'Income Statement'!E6</f>
        <v>1960100</v>
      </c>
      <c r="F5" s="98">
        <f>'Income Statement'!F6</f>
        <v>1794400</v>
      </c>
      <c r="G5" s="97">
        <f>'Income Statement'!G6</f>
        <v>4048598</v>
      </c>
      <c r="H5" s="97">
        <f>'Income Statement'!H6</f>
        <v>3701269</v>
      </c>
      <c r="I5" s="97">
        <f>'Income Statement'!I6</f>
        <v>3622478</v>
      </c>
      <c r="J5" s="97">
        <f>'Income Statement'!J6</f>
        <v>3575325</v>
      </c>
      <c r="K5" s="97">
        <f>'Income Statement'!K6</f>
        <v>3455376</v>
      </c>
    </row>
    <row r="6">
      <c r="A6" s="123" t="s">
        <v>171</v>
      </c>
      <c r="B6" s="126">
        <f t="shared" ref="B6:K6" si="1">B5/B4</f>
        <v>0.4576230804</v>
      </c>
      <c r="C6" s="126">
        <f t="shared" si="1"/>
        <v>0.4288190146</v>
      </c>
      <c r="D6" s="126">
        <f t="shared" si="1"/>
        <v>0.4483604384</v>
      </c>
      <c r="E6" s="126">
        <f t="shared" si="1"/>
        <v>0.4524177726</v>
      </c>
      <c r="F6" s="127">
        <f t="shared" si="1"/>
        <v>0.4370083534</v>
      </c>
      <c r="G6" s="126">
        <f t="shared" si="1"/>
        <v>0.4512814534</v>
      </c>
      <c r="H6" s="126">
        <f t="shared" si="1"/>
        <v>0.4541590943</v>
      </c>
      <c r="I6" s="126">
        <f t="shared" si="1"/>
        <v>0.4535892431</v>
      </c>
      <c r="J6" s="126">
        <f t="shared" si="1"/>
        <v>0.458900441</v>
      </c>
      <c r="K6" s="126">
        <f t="shared" si="1"/>
        <v>0.4597711427</v>
      </c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43" t="s">
        <v>172</v>
      </c>
      <c r="B7" s="97">
        <f>'Income Statement'!B12</f>
        <v>644900</v>
      </c>
      <c r="C7" s="97">
        <f>'Income Statement'!C12</f>
        <v>420300</v>
      </c>
      <c r="D7" s="97">
        <f>'Income Statement'!D12</f>
        <v>593000</v>
      </c>
      <c r="E7" s="97">
        <f>'Income Statement'!E12</f>
        <v>636700</v>
      </c>
      <c r="F7" s="98">
        <f>'Income Statement'!F12</f>
        <v>595400</v>
      </c>
      <c r="G7" s="97">
        <f>'Income Statement'!G12</f>
        <v>2043722</v>
      </c>
      <c r="H7" s="97">
        <f>'Income Statement'!H12</f>
        <v>1782698</v>
      </c>
      <c r="I7" s="97">
        <f>'Income Statement'!I12</f>
        <v>1595952</v>
      </c>
      <c r="J7" s="97">
        <f>'Income Statement'!J12</f>
        <v>1623664</v>
      </c>
      <c r="K7" s="97">
        <f>'Income Statement'!K12</f>
        <v>1313409</v>
      </c>
    </row>
    <row r="8">
      <c r="A8" s="128" t="s">
        <v>173</v>
      </c>
      <c r="B8" s="126">
        <f t="shared" ref="B8:K8" si="2">B7/B4</f>
        <v>0.1396824709</v>
      </c>
      <c r="C8" s="126">
        <f t="shared" si="2"/>
        <v>0.104060411</v>
      </c>
      <c r="D8" s="126">
        <f t="shared" si="2"/>
        <v>0.1310323493</v>
      </c>
      <c r="E8" s="126">
        <f t="shared" si="2"/>
        <v>0.1469590306</v>
      </c>
      <c r="F8" s="127">
        <f t="shared" si="2"/>
        <v>0.1450037749</v>
      </c>
      <c r="G8" s="126">
        <f t="shared" si="2"/>
        <v>0.2278057329</v>
      </c>
      <c r="H8" s="126">
        <f t="shared" si="2"/>
        <v>0.2187434929</v>
      </c>
      <c r="I8" s="126">
        <f t="shared" si="2"/>
        <v>0.1998374206</v>
      </c>
      <c r="J8" s="126">
        <f t="shared" si="2"/>
        <v>0.20840067</v>
      </c>
      <c r="K8" s="126">
        <f t="shared" si="2"/>
        <v>0.17476175</v>
      </c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>
      <c r="A9" s="39" t="s">
        <v>174</v>
      </c>
      <c r="B9" s="97">
        <f>'Income Statement'!B16</f>
        <v>490500</v>
      </c>
      <c r="C9" s="97">
        <f>'Income Statement'!C16</f>
        <v>320100</v>
      </c>
      <c r="D9" s="97">
        <f>'Income Statement'!D16</f>
        <v>511900</v>
      </c>
      <c r="E9" s="97">
        <f>'Income Statement'!E16</f>
        <v>487100</v>
      </c>
      <c r="F9" s="98">
        <f>'Income Statement'!F16</f>
        <v>452500</v>
      </c>
      <c r="G9" s="97">
        <f>'Income Statement'!G16</f>
        <v>1482819</v>
      </c>
      <c r="H9" s="97">
        <f>'Income Statement'!H16</f>
        <v>1275413</v>
      </c>
      <c r="I9" s="97">
        <f>'Income Statement'!I16</f>
        <v>1146752</v>
      </c>
      <c r="J9" s="97">
        <f>'Income Statement'!J16</f>
        <v>1171051</v>
      </c>
      <c r="K9" s="97">
        <f>'Income Statement'!K16</f>
        <v>756537</v>
      </c>
    </row>
    <row r="10">
      <c r="A10" s="130" t="s">
        <v>175</v>
      </c>
      <c r="B10" s="126">
        <f t="shared" ref="B10:K10" si="3">B9/B4</f>
        <v>0.1062401178</v>
      </c>
      <c r="C10" s="126">
        <f t="shared" si="3"/>
        <v>0.07925229017</v>
      </c>
      <c r="D10" s="126">
        <f t="shared" si="3"/>
        <v>0.1131120735</v>
      </c>
      <c r="E10" s="126">
        <f t="shared" si="3"/>
        <v>0.1124293133</v>
      </c>
      <c r="F10" s="127">
        <f t="shared" si="3"/>
        <v>0.1102018947</v>
      </c>
      <c r="G10" s="126">
        <f t="shared" si="3"/>
        <v>0.1652840597</v>
      </c>
      <c r="H10" s="126">
        <f t="shared" si="3"/>
        <v>0.1564977885</v>
      </c>
      <c r="I10" s="126">
        <f t="shared" si="3"/>
        <v>0.1435907607</v>
      </c>
      <c r="J10" s="126">
        <f t="shared" si="3"/>
        <v>0.1503068449</v>
      </c>
      <c r="K10" s="126">
        <f t="shared" si="3"/>
        <v>0.1006645531</v>
      </c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>
      <c r="A11" s="43" t="s">
        <v>13</v>
      </c>
      <c r="B11" s="97">
        <f>'Balance Sheet'!B15</f>
        <v>8956100</v>
      </c>
      <c r="C11" s="97">
        <f>'Balance Sheet'!C15</f>
        <v>8051000</v>
      </c>
      <c r="D11" s="97">
        <f>'Balance Sheet'!D15</f>
        <v>8040800</v>
      </c>
      <c r="E11" s="97">
        <f>'Balance Sheet'!E15</f>
        <v>7249800</v>
      </c>
      <c r="F11" s="98">
        <f>'Balance Sheet'!F15</f>
        <v>6975600</v>
      </c>
      <c r="G11" s="97">
        <f>'Balance Sheet'!G15</f>
        <v>10412231</v>
      </c>
      <c r="H11" s="97">
        <f>'Balance Sheet'!H15</f>
        <v>9131845</v>
      </c>
      <c r="I11" s="97">
        <f>'Balance Sheet'!I15</f>
        <v>8140395</v>
      </c>
      <c r="J11" s="97">
        <f>'Balance Sheet'!J15</f>
        <v>7703020</v>
      </c>
      <c r="K11" s="97">
        <f>'Balance Sheet'!K15</f>
        <v>5553726</v>
      </c>
    </row>
    <row r="12">
      <c r="A12" s="130" t="s">
        <v>176</v>
      </c>
      <c r="B12" s="126">
        <f t="shared" ref="B12:K12" si="4">B9/B11</f>
        <v>0.05476714195</v>
      </c>
      <c r="C12" s="126">
        <f t="shared" si="4"/>
        <v>0.03975903614</v>
      </c>
      <c r="D12" s="126">
        <f t="shared" si="4"/>
        <v>0.06366281962</v>
      </c>
      <c r="E12" s="126">
        <f t="shared" si="4"/>
        <v>0.06718806036</v>
      </c>
      <c r="F12" s="127">
        <f t="shared" si="4"/>
        <v>0.06486897184</v>
      </c>
      <c r="G12" s="126">
        <f t="shared" si="4"/>
        <v>0.1424112661</v>
      </c>
      <c r="H12" s="126">
        <f t="shared" si="4"/>
        <v>0.1396665186</v>
      </c>
      <c r="I12" s="126">
        <f t="shared" si="4"/>
        <v>0.1408717882</v>
      </c>
      <c r="J12" s="126">
        <f t="shared" si="4"/>
        <v>0.1520249201</v>
      </c>
      <c r="K12" s="126">
        <f t="shared" si="4"/>
        <v>0.1362215205</v>
      </c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>
      <c r="A13" s="43" t="s">
        <v>177</v>
      </c>
      <c r="B13" s="97">
        <f>'Balance Sheet'!B15-'Balance Sheet'!B19</f>
        <v>7470400</v>
      </c>
      <c r="C13" s="97">
        <f>'Balance Sheet'!C15-'Balance Sheet'!C19</f>
        <v>6770700</v>
      </c>
      <c r="D13" s="97">
        <f>'Balance Sheet'!D15-'Balance Sheet'!D19</f>
        <v>6351100</v>
      </c>
      <c r="E13" s="97">
        <f>'Balance Sheet'!E15-'Balance Sheet'!E19</f>
        <v>6221700</v>
      </c>
      <c r="F13" s="98">
        <f>'Balance Sheet'!F15-'Balance Sheet'!F19</f>
        <v>5925800</v>
      </c>
      <c r="G13" s="97">
        <f>'Balance Sheet'!G15-'Balance Sheet'!G19</f>
        <v>7918918</v>
      </c>
      <c r="H13" s="97">
        <f>'Balance Sheet'!H15-'Balance Sheet'!H19</f>
        <v>7240100</v>
      </c>
      <c r="I13" s="97">
        <f>'Balance Sheet'!I15-'Balance Sheet'!I19</f>
        <v>6131602</v>
      </c>
      <c r="J13" s="97">
        <f>'Balance Sheet'!J15-'Balance Sheet'!J19</f>
        <v>5284454</v>
      </c>
      <c r="K13" s="97">
        <f>'Balance Sheet'!K15-'Balance Sheet'!K19</f>
        <v>3477183</v>
      </c>
    </row>
    <row r="14">
      <c r="A14" s="131" t="s">
        <v>178</v>
      </c>
      <c r="B14" s="97">
        <f>'Income Statement'!B14</f>
        <v>621700</v>
      </c>
      <c r="C14" s="97">
        <f>'Income Statement'!C14</f>
        <v>394100</v>
      </c>
      <c r="D14" s="97">
        <f>'Income Statement'!D14</f>
        <v>561100</v>
      </c>
      <c r="E14" s="97">
        <f>'Income Statement'!E14</f>
        <v>620600</v>
      </c>
      <c r="F14" s="98">
        <f>'Income Statement'!F14</f>
        <v>582800</v>
      </c>
      <c r="G14" s="97">
        <f>'Income Statement'!G14</f>
        <v>1797224</v>
      </c>
      <c r="H14" s="97">
        <f>'Income Statement'!H14</f>
        <v>1494997</v>
      </c>
      <c r="I14" s="97">
        <f>'Income Statement'!I14</f>
        <v>1380784</v>
      </c>
      <c r="J14" s="97">
        <f>'Income Statement'!J14</f>
        <v>1410061</v>
      </c>
      <c r="K14" s="97">
        <f>'Income Statement'!K14</f>
        <v>1110668</v>
      </c>
    </row>
    <row r="15">
      <c r="A15" s="128" t="s">
        <v>179</v>
      </c>
      <c r="B15" s="126">
        <f t="shared" ref="B15:K15" si="5">B14/B13</f>
        <v>0.08322178197</v>
      </c>
      <c r="C15" s="126">
        <f t="shared" si="5"/>
        <v>0.05820668469</v>
      </c>
      <c r="D15" s="126">
        <f t="shared" si="5"/>
        <v>0.08834690054</v>
      </c>
      <c r="E15" s="126">
        <f t="shared" si="5"/>
        <v>0.09974765739</v>
      </c>
      <c r="F15" s="127">
        <f t="shared" si="5"/>
        <v>0.09834958993</v>
      </c>
      <c r="G15" s="126">
        <f t="shared" si="5"/>
        <v>0.2269532277</v>
      </c>
      <c r="H15" s="126">
        <f t="shared" si="5"/>
        <v>0.2064884463</v>
      </c>
      <c r="I15" s="126">
        <f t="shared" si="5"/>
        <v>0.2251913937</v>
      </c>
      <c r="J15" s="126">
        <f t="shared" si="5"/>
        <v>0.2668319187</v>
      </c>
      <c r="K15" s="126">
        <f t="shared" si="5"/>
        <v>0.319416033</v>
      </c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>
      <c r="A16" s="84"/>
      <c r="F16" s="81"/>
    </row>
    <row r="17">
      <c r="A17" s="84"/>
      <c r="F17" s="81"/>
    </row>
    <row r="18">
      <c r="A18" s="84"/>
      <c r="F18" s="81"/>
    </row>
    <row r="19">
      <c r="A19" s="84"/>
      <c r="F19" s="81"/>
    </row>
    <row r="20">
      <c r="A20" s="84"/>
      <c r="F20" s="81"/>
    </row>
    <row r="21">
      <c r="A21" s="84"/>
      <c r="F21" s="81"/>
    </row>
    <row r="22">
      <c r="A22" s="84"/>
      <c r="F22" s="81"/>
    </row>
    <row r="23">
      <c r="A23" s="84"/>
      <c r="F23" s="81"/>
    </row>
    <row r="24">
      <c r="A24" s="84"/>
      <c r="F24" s="81"/>
    </row>
    <row r="25">
      <c r="A25" s="84"/>
      <c r="F25" s="81"/>
    </row>
    <row r="26">
      <c r="A26" s="84"/>
      <c r="F26" s="81"/>
    </row>
    <row r="27">
      <c r="A27" s="84"/>
      <c r="F27" s="81"/>
    </row>
    <row r="28">
      <c r="A28" s="84"/>
      <c r="F28" s="81"/>
    </row>
    <row r="29">
      <c r="A29" s="84"/>
      <c r="F29" s="81"/>
    </row>
    <row r="30">
      <c r="A30" s="84"/>
      <c r="F30" s="81"/>
    </row>
    <row r="31">
      <c r="A31" s="84"/>
      <c r="F31" s="81"/>
    </row>
    <row r="32">
      <c r="A32" s="84"/>
      <c r="F32" s="81"/>
    </row>
    <row r="33">
      <c r="A33" s="84"/>
      <c r="F33" s="81"/>
    </row>
    <row r="34">
      <c r="A34" s="84"/>
      <c r="F34" s="81"/>
    </row>
    <row r="35">
      <c r="A35" s="84"/>
      <c r="F35" s="81"/>
    </row>
    <row r="36">
      <c r="A36" s="84"/>
      <c r="F36" s="81"/>
    </row>
    <row r="37">
      <c r="A37" s="84"/>
      <c r="F37" s="81"/>
    </row>
    <row r="38">
      <c r="A38" s="84"/>
      <c r="F38" s="81"/>
    </row>
    <row r="39">
      <c r="A39" s="84"/>
      <c r="F39" s="81"/>
    </row>
    <row r="40">
      <c r="A40" s="84"/>
      <c r="F40" s="81"/>
    </row>
    <row r="41">
      <c r="A41" s="84"/>
      <c r="F41" s="81"/>
    </row>
    <row r="42">
      <c r="A42" s="84"/>
      <c r="F42" s="81"/>
    </row>
    <row r="43">
      <c r="A43" s="84"/>
      <c r="F43" s="81"/>
    </row>
    <row r="44">
      <c r="A44" s="84"/>
      <c r="F44" s="81"/>
    </row>
    <row r="45">
      <c r="A45" s="84"/>
      <c r="F45" s="81"/>
    </row>
    <row r="46">
      <c r="A46" s="84"/>
      <c r="F46" s="81"/>
    </row>
    <row r="47">
      <c r="A47" s="84"/>
      <c r="F47" s="81"/>
    </row>
    <row r="48">
      <c r="A48" s="84"/>
      <c r="F48" s="81"/>
    </row>
    <row r="49">
      <c r="A49" s="84"/>
      <c r="F49" s="81"/>
    </row>
    <row r="50">
      <c r="A50" s="84"/>
      <c r="F50" s="81"/>
    </row>
    <row r="51">
      <c r="A51" s="84"/>
      <c r="F51" s="81"/>
    </row>
    <row r="52">
      <c r="A52" s="84"/>
      <c r="F52" s="81"/>
    </row>
    <row r="53">
      <c r="A53" s="84"/>
      <c r="F53" s="81"/>
    </row>
    <row r="54">
      <c r="A54" s="84"/>
      <c r="F54" s="81"/>
    </row>
    <row r="55">
      <c r="A55" s="84"/>
      <c r="F55" s="81"/>
    </row>
    <row r="56">
      <c r="A56" s="84"/>
      <c r="F56" s="81"/>
    </row>
    <row r="57">
      <c r="A57" s="84"/>
      <c r="F57" s="81"/>
    </row>
    <row r="58">
      <c r="A58" s="84"/>
      <c r="F58" s="81"/>
    </row>
    <row r="59">
      <c r="A59" s="84"/>
      <c r="F59" s="81"/>
    </row>
    <row r="60">
      <c r="A60" s="84"/>
      <c r="F60" s="81"/>
    </row>
    <row r="61">
      <c r="A61" s="84"/>
      <c r="F61" s="81"/>
    </row>
    <row r="62">
      <c r="A62" s="84"/>
      <c r="F62" s="81"/>
    </row>
    <row r="63">
      <c r="A63" s="84"/>
      <c r="F63" s="81"/>
    </row>
    <row r="64">
      <c r="A64" s="84"/>
      <c r="F64" s="81"/>
    </row>
    <row r="65">
      <c r="A65" s="84"/>
      <c r="F65" s="81"/>
    </row>
    <row r="66">
      <c r="A66" s="84"/>
      <c r="F66" s="81"/>
    </row>
    <row r="67">
      <c r="A67" s="84"/>
      <c r="F67" s="81"/>
    </row>
    <row r="68">
      <c r="A68" s="84"/>
      <c r="F68" s="81"/>
    </row>
    <row r="69">
      <c r="A69" s="84"/>
      <c r="F69" s="81"/>
    </row>
    <row r="70">
      <c r="A70" s="84"/>
      <c r="F70" s="81"/>
    </row>
    <row r="71">
      <c r="A71" s="84"/>
      <c r="F71" s="81"/>
    </row>
    <row r="72">
      <c r="A72" s="84"/>
      <c r="F72" s="81"/>
    </row>
    <row r="73">
      <c r="A73" s="84"/>
      <c r="F73" s="81"/>
    </row>
    <row r="74">
      <c r="A74" s="84"/>
      <c r="F74" s="81"/>
    </row>
    <row r="75">
      <c r="A75" s="84"/>
      <c r="F75" s="81"/>
    </row>
    <row r="76">
      <c r="A76" s="84"/>
      <c r="F76" s="81"/>
    </row>
    <row r="77">
      <c r="A77" s="84"/>
      <c r="F77" s="81"/>
    </row>
    <row r="78">
      <c r="A78" s="84"/>
      <c r="F78" s="81"/>
    </row>
    <row r="79">
      <c r="A79" s="84"/>
      <c r="F79" s="81"/>
    </row>
    <row r="80">
      <c r="A80" s="84"/>
      <c r="F80" s="81"/>
    </row>
    <row r="81">
      <c r="A81" s="84"/>
      <c r="F81" s="81"/>
    </row>
    <row r="82">
      <c r="A82" s="84"/>
      <c r="F82" s="81"/>
    </row>
    <row r="83">
      <c r="A83" s="84"/>
      <c r="F83" s="81"/>
    </row>
    <row r="84">
      <c r="A84" s="84"/>
      <c r="F84" s="81"/>
    </row>
    <row r="85">
      <c r="A85" s="84"/>
      <c r="F85" s="81"/>
    </row>
    <row r="86">
      <c r="A86" s="84"/>
      <c r="F86" s="81"/>
    </row>
    <row r="87">
      <c r="A87" s="84"/>
      <c r="F87" s="81"/>
    </row>
    <row r="88">
      <c r="A88" s="84"/>
      <c r="F88" s="81"/>
    </row>
    <row r="89">
      <c r="A89" s="84"/>
      <c r="F89" s="81"/>
    </row>
    <row r="90">
      <c r="A90" s="84"/>
      <c r="F90" s="81"/>
    </row>
    <row r="91">
      <c r="A91" s="84"/>
      <c r="F91" s="81"/>
    </row>
    <row r="92">
      <c r="A92" s="84"/>
      <c r="F92" s="81"/>
    </row>
    <row r="93">
      <c r="A93" s="84"/>
      <c r="F93" s="81"/>
    </row>
    <row r="94">
      <c r="A94" s="84"/>
      <c r="F94" s="81"/>
    </row>
    <row r="95">
      <c r="A95" s="84"/>
      <c r="F95" s="81"/>
    </row>
    <row r="96">
      <c r="A96" s="84"/>
      <c r="F96" s="81"/>
    </row>
    <row r="97">
      <c r="A97" s="84"/>
      <c r="F97" s="81"/>
    </row>
    <row r="98">
      <c r="A98" s="84"/>
      <c r="F98" s="81"/>
    </row>
    <row r="99">
      <c r="A99" s="84"/>
      <c r="F99" s="81"/>
    </row>
    <row r="100">
      <c r="A100" s="84"/>
      <c r="F100" s="81"/>
    </row>
    <row r="101">
      <c r="A101" s="84"/>
      <c r="F101" s="81"/>
    </row>
    <row r="102">
      <c r="A102" s="84"/>
      <c r="F102" s="81"/>
    </row>
    <row r="103">
      <c r="A103" s="84"/>
      <c r="F103" s="81"/>
    </row>
    <row r="104">
      <c r="A104" s="84"/>
      <c r="F104" s="81"/>
    </row>
    <row r="105">
      <c r="A105" s="84"/>
      <c r="F105" s="81"/>
    </row>
    <row r="106">
      <c r="A106" s="84"/>
      <c r="F106" s="81"/>
    </row>
    <row r="107">
      <c r="A107" s="84"/>
      <c r="F107" s="81"/>
    </row>
    <row r="108">
      <c r="A108" s="84"/>
      <c r="F108" s="81"/>
    </row>
    <row r="109">
      <c r="A109" s="84"/>
      <c r="F109" s="81"/>
    </row>
    <row r="110">
      <c r="A110" s="84"/>
      <c r="F110" s="81"/>
    </row>
    <row r="111">
      <c r="A111" s="84"/>
      <c r="F111" s="81"/>
    </row>
    <row r="112">
      <c r="A112" s="84"/>
      <c r="F112" s="81"/>
    </row>
    <row r="113">
      <c r="A113" s="84"/>
      <c r="F113" s="81"/>
    </row>
    <row r="114">
      <c r="A114" s="84"/>
      <c r="F114" s="81"/>
    </row>
    <row r="115">
      <c r="A115" s="84"/>
      <c r="F115" s="81"/>
    </row>
    <row r="116">
      <c r="A116" s="84"/>
      <c r="F116" s="81"/>
    </row>
    <row r="117">
      <c r="A117" s="84"/>
      <c r="F117" s="81"/>
    </row>
    <row r="118">
      <c r="A118" s="84"/>
      <c r="F118" s="81"/>
    </row>
    <row r="119">
      <c r="A119" s="84"/>
      <c r="F119" s="81"/>
    </row>
    <row r="120">
      <c r="A120" s="84"/>
      <c r="F120" s="81"/>
    </row>
    <row r="121">
      <c r="A121" s="84"/>
      <c r="F121" s="81"/>
    </row>
    <row r="122">
      <c r="A122" s="84"/>
      <c r="F122" s="81"/>
    </row>
    <row r="123">
      <c r="A123" s="84"/>
      <c r="F123" s="81"/>
    </row>
    <row r="124">
      <c r="A124" s="84"/>
      <c r="F124" s="81"/>
    </row>
    <row r="125">
      <c r="A125" s="84"/>
      <c r="F125" s="81"/>
    </row>
    <row r="126">
      <c r="A126" s="84"/>
      <c r="F126" s="81"/>
    </row>
    <row r="127">
      <c r="A127" s="84"/>
      <c r="F127" s="81"/>
    </row>
    <row r="128">
      <c r="A128" s="84"/>
      <c r="F128" s="81"/>
    </row>
    <row r="129">
      <c r="A129" s="84"/>
      <c r="F129" s="81"/>
    </row>
    <row r="130">
      <c r="A130" s="84"/>
      <c r="F130" s="81"/>
    </row>
    <row r="131">
      <c r="A131" s="84"/>
      <c r="F131" s="81"/>
    </row>
    <row r="132">
      <c r="A132" s="84"/>
      <c r="F132" s="81"/>
    </row>
    <row r="133">
      <c r="A133" s="84"/>
      <c r="F133" s="81"/>
    </row>
    <row r="134">
      <c r="A134" s="84"/>
      <c r="F134" s="81"/>
    </row>
    <row r="135">
      <c r="A135" s="84"/>
      <c r="F135" s="81"/>
    </row>
    <row r="136">
      <c r="A136" s="84"/>
      <c r="F136" s="81"/>
    </row>
    <row r="137">
      <c r="A137" s="84"/>
      <c r="F137" s="81"/>
    </row>
    <row r="138">
      <c r="A138" s="84"/>
      <c r="F138" s="81"/>
    </row>
    <row r="139">
      <c r="A139" s="84"/>
      <c r="F139" s="81"/>
    </row>
    <row r="140">
      <c r="A140" s="84"/>
      <c r="F140" s="81"/>
    </row>
    <row r="141">
      <c r="A141" s="84"/>
      <c r="F141" s="81"/>
    </row>
    <row r="142">
      <c r="A142" s="84"/>
      <c r="F142" s="81"/>
    </row>
    <row r="143">
      <c r="A143" s="84"/>
      <c r="F143" s="81"/>
    </row>
    <row r="144">
      <c r="A144" s="84"/>
      <c r="F144" s="81"/>
    </row>
    <row r="145">
      <c r="A145" s="84"/>
      <c r="F145" s="81"/>
    </row>
    <row r="146">
      <c r="A146" s="84"/>
      <c r="F146" s="81"/>
    </row>
    <row r="147">
      <c r="A147" s="84"/>
      <c r="F147" s="81"/>
    </row>
    <row r="148">
      <c r="A148" s="84"/>
      <c r="F148" s="81"/>
    </row>
    <row r="149">
      <c r="A149" s="84"/>
      <c r="F149" s="81"/>
    </row>
    <row r="150">
      <c r="A150" s="84"/>
      <c r="F150" s="81"/>
    </row>
    <row r="151">
      <c r="A151" s="84"/>
      <c r="F151" s="81"/>
    </row>
    <row r="152">
      <c r="A152" s="84"/>
      <c r="F152" s="81"/>
    </row>
    <row r="153">
      <c r="A153" s="84"/>
      <c r="F153" s="81"/>
    </row>
    <row r="154">
      <c r="A154" s="84"/>
      <c r="F154" s="81"/>
    </row>
    <row r="155">
      <c r="A155" s="84"/>
      <c r="F155" s="81"/>
    </row>
    <row r="156">
      <c r="A156" s="84"/>
      <c r="F156" s="81"/>
    </row>
    <row r="157">
      <c r="A157" s="84"/>
      <c r="F157" s="81"/>
    </row>
    <row r="158">
      <c r="A158" s="84"/>
      <c r="F158" s="81"/>
    </row>
    <row r="159">
      <c r="A159" s="84"/>
      <c r="F159" s="81"/>
    </row>
    <row r="160">
      <c r="A160" s="84"/>
      <c r="F160" s="81"/>
    </row>
    <row r="161">
      <c r="A161" s="84"/>
      <c r="F161" s="81"/>
    </row>
    <row r="162">
      <c r="A162" s="84"/>
      <c r="F162" s="81"/>
    </row>
    <row r="163">
      <c r="A163" s="84"/>
      <c r="F163" s="81"/>
    </row>
    <row r="164">
      <c r="A164" s="84"/>
      <c r="F164" s="81"/>
    </row>
    <row r="165">
      <c r="A165" s="84"/>
      <c r="F165" s="81"/>
    </row>
    <row r="166">
      <c r="A166" s="84"/>
      <c r="F166" s="81"/>
    </row>
    <row r="167">
      <c r="A167" s="84"/>
      <c r="F167" s="81"/>
    </row>
    <row r="168">
      <c r="A168" s="84"/>
      <c r="F168" s="81"/>
    </row>
    <row r="169">
      <c r="A169" s="84"/>
      <c r="F169" s="81"/>
    </row>
    <row r="170">
      <c r="A170" s="84"/>
      <c r="F170" s="81"/>
    </row>
    <row r="171">
      <c r="A171" s="84"/>
      <c r="F171" s="81"/>
    </row>
    <row r="172">
      <c r="A172" s="84"/>
      <c r="F172" s="81"/>
    </row>
    <row r="173">
      <c r="A173" s="84"/>
      <c r="F173" s="81"/>
    </row>
    <row r="174">
      <c r="A174" s="84"/>
      <c r="F174" s="81"/>
    </row>
    <row r="175">
      <c r="A175" s="84"/>
      <c r="F175" s="81"/>
    </row>
    <row r="176">
      <c r="A176" s="84"/>
      <c r="F176" s="81"/>
    </row>
    <row r="177">
      <c r="A177" s="84"/>
      <c r="F177" s="81"/>
    </row>
    <row r="178">
      <c r="A178" s="84"/>
      <c r="F178" s="81"/>
    </row>
    <row r="179">
      <c r="A179" s="84"/>
      <c r="F179" s="81"/>
    </row>
    <row r="180">
      <c r="A180" s="84"/>
      <c r="F180" s="81"/>
    </row>
    <row r="181">
      <c r="A181" s="84"/>
      <c r="F181" s="81"/>
    </row>
    <row r="182">
      <c r="A182" s="84"/>
      <c r="F182" s="81"/>
    </row>
    <row r="183">
      <c r="A183" s="84"/>
      <c r="F183" s="81"/>
    </row>
    <row r="184">
      <c r="A184" s="84"/>
      <c r="F184" s="81"/>
    </row>
    <row r="185">
      <c r="A185" s="84"/>
      <c r="F185" s="81"/>
    </row>
    <row r="186">
      <c r="A186" s="84"/>
      <c r="F186" s="81"/>
    </row>
    <row r="187">
      <c r="A187" s="84"/>
      <c r="F187" s="81"/>
    </row>
    <row r="188">
      <c r="A188" s="84"/>
      <c r="F188" s="81"/>
    </row>
    <row r="189">
      <c r="A189" s="84"/>
      <c r="F189" s="81"/>
    </row>
    <row r="190">
      <c r="A190" s="84"/>
      <c r="F190" s="81"/>
    </row>
    <row r="191">
      <c r="A191" s="84"/>
      <c r="F191" s="81"/>
    </row>
    <row r="192">
      <c r="A192" s="84"/>
      <c r="F192" s="81"/>
    </row>
    <row r="193">
      <c r="A193" s="84"/>
      <c r="F193" s="81"/>
    </row>
    <row r="194">
      <c r="A194" s="84"/>
      <c r="F194" s="81"/>
    </row>
    <row r="195">
      <c r="A195" s="84"/>
      <c r="F195" s="81"/>
    </row>
    <row r="196">
      <c r="A196" s="84"/>
      <c r="F196" s="81"/>
    </row>
    <row r="197">
      <c r="A197" s="84"/>
      <c r="F197" s="81"/>
    </row>
    <row r="198">
      <c r="A198" s="84"/>
      <c r="F198" s="81"/>
    </row>
    <row r="199">
      <c r="A199" s="84"/>
      <c r="F199" s="81"/>
    </row>
    <row r="200">
      <c r="A200" s="84"/>
      <c r="F200" s="81"/>
    </row>
    <row r="201">
      <c r="A201" s="84"/>
      <c r="F201" s="81"/>
    </row>
    <row r="202">
      <c r="A202" s="84"/>
      <c r="F202" s="81"/>
    </row>
    <row r="203">
      <c r="A203" s="84"/>
      <c r="F203" s="81"/>
    </row>
    <row r="204">
      <c r="A204" s="84"/>
      <c r="F204" s="81"/>
    </row>
    <row r="205">
      <c r="A205" s="84"/>
      <c r="F205" s="81"/>
    </row>
    <row r="206">
      <c r="A206" s="84"/>
      <c r="F206" s="81"/>
    </row>
    <row r="207">
      <c r="A207" s="84"/>
      <c r="F207" s="81"/>
    </row>
    <row r="208">
      <c r="A208" s="84"/>
      <c r="F208" s="81"/>
    </row>
    <row r="209">
      <c r="A209" s="84"/>
      <c r="F209" s="81"/>
    </row>
    <row r="210">
      <c r="A210" s="84"/>
      <c r="F210" s="81"/>
    </row>
    <row r="211">
      <c r="A211" s="84"/>
      <c r="F211" s="81"/>
    </row>
    <row r="212">
      <c r="A212" s="84"/>
      <c r="F212" s="81"/>
    </row>
    <row r="213">
      <c r="A213" s="84"/>
      <c r="F213" s="81"/>
    </row>
    <row r="214">
      <c r="A214" s="84"/>
      <c r="F214" s="81"/>
    </row>
    <row r="215">
      <c r="A215" s="84"/>
      <c r="F215" s="81"/>
    </row>
    <row r="216">
      <c r="A216" s="84"/>
      <c r="F216" s="81"/>
    </row>
    <row r="217">
      <c r="A217" s="84"/>
      <c r="F217" s="81"/>
    </row>
    <row r="218">
      <c r="A218" s="84"/>
      <c r="F218" s="81"/>
    </row>
    <row r="219">
      <c r="A219" s="84"/>
      <c r="F219" s="81"/>
    </row>
    <row r="220">
      <c r="A220" s="84"/>
      <c r="F220" s="81"/>
    </row>
    <row r="221">
      <c r="A221" s="84"/>
      <c r="F221" s="81"/>
    </row>
    <row r="222">
      <c r="A222" s="84"/>
      <c r="F222" s="81"/>
    </row>
    <row r="223">
      <c r="A223" s="84"/>
      <c r="F223" s="81"/>
    </row>
    <row r="224">
      <c r="A224" s="84"/>
      <c r="F224" s="81"/>
    </row>
    <row r="225">
      <c r="A225" s="84"/>
      <c r="F225" s="81"/>
    </row>
    <row r="226">
      <c r="A226" s="84"/>
      <c r="F226" s="81"/>
    </row>
    <row r="227">
      <c r="A227" s="84"/>
      <c r="F227" s="81"/>
    </row>
    <row r="228">
      <c r="A228" s="84"/>
      <c r="F228" s="81"/>
    </row>
    <row r="229">
      <c r="A229" s="84"/>
      <c r="F229" s="81"/>
    </row>
    <row r="230">
      <c r="A230" s="84"/>
      <c r="F230" s="81"/>
    </row>
    <row r="231">
      <c r="A231" s="84"/>
      <c r="F231" s="81"/>
    </row>
    <row r="232">
      <c r="A232" s="84"/>
      <c r="F232" s="81"/>
    </row>
    <row r="233">
      <c r="A233" s="84"/>
      <c r="F233" s="81"/>
    </row>
    <row r="234">
      <c r="A234" s="84"/>
      <c r="F234" s="81"/>
    </row>
    <row r="235">
      <c r="A235" s="84"/>
      <c r="F235" s="81"/>
    </row>
    <row r="236">
      <c r="A236" s="84"/>
      <c r="F236" s="81"/>
    </row>
    <row r="237">
      <c r="A237" s="84"/>
      <c r="F237" s="81"/>
    </row>
    <row r="238">
      <c r="A238" s="84"/>
      <c r="F238" s="81"/>
    </row>
    <row r="239">
      <c r="A239" s="84"/>
      <c r="F239" s="81"/>
    </row>
    <row r="240">
      <c r="A240" s="84"/>
      <c r="F240" s="81"/>
    </row>
    <row r="241">
      <c r="A241" s="84"/>
      <c r="F241" s="81"/>
    </row>
    <row r="242">
      <c r="A242" s="84"/>
      <c r="F242" s="81"/>
    </row>
    <row r="243">
      <c r="A243" s="84"/>
      <c r="F243" s="81"/>
    </row>
    <row r="244">
      <c r="A244" s="84"/>
      <c r="F244" s="81"/>
    </row>
    <row r="245">
      <c r="A245" s="84"/>
      <c r="F245" s="81"/>
    </row>
    <row r="246">
      <c r="A246" s="84"/>
      <c r="F246" s="81"/>
    </row>
    <row r="247">
      <c r="A247" s="84"/>
      <c r="F247" s="81"/>
    </row>
    <row r="248">
      <c r="A248" s="84"/>
      <c r="F248" s="81"/>
    </row>
    <row r="249">
      <c r="A249" s="84"/>
      <c r="F249" s="81"/>
    </row>
    <row r="250">
      <c r="A250" s="84"/>
      <c r="F250" s="81"/>
    </row>
    <row r="251">
      <c r="A251" s="84"/>
      <c r="F251" s="81"/>
    </row>
    <row r="252">
      <c r="A252" s="84"/>
      <c r="F252" s="81"/>
    </row>
    <row r="253">
      <c r="A253" s="84"/>
      <c r="F253" s="81"/>
    </row>
    <row r="254">
      <c r="A254" s="84"/>
      <c r="F254" s="81"/>
    </row>
    <row r="255">
      <c r="A255" s="84"/>
      <c r="F255" s="81"/>
    </row>
    <row r="256">
      <c r="A256" s="84"/>
      <c r="F256" s="81"/>
    </row>
    <row r="257">
      <c r="A257" s="84"/>
      <c r="F257" s="81"/>
    </row>
    <row r="258">
      <c r="A258" s="84"/>
      <c r="F258" s="81"/>
    </row>
    <row r="259">
      <c r="A259" s="84"/>
      <c r="F259" s="81"/>
    </row>
    <row r="260">
      <c r="A260" s="84"/>
      <c r="F260" s="81"/>
    </row>
    <row r="261">
      <c r="A261" s="84"/>
      <c r="F261" s="81"/>
    </row>
    <row r="262">
      <c r="A262" s="84"/>
      <c r="F262" s="81"/>
    </row>
    <row r="263">
      <c r="A263" s="84"/>
      <c r="F263" s="81"/>
    </row>
    <row r="264">
      <c r="A264" s="84"/>
      <c r="F264" s="81"/>
    </row>
    <row r="265">
      <c r="A265" s="84"/>
      <c r="F265" s="81"/>
    </row>
    <row r="266">
      <c r="A266" s="84"/>
      <c r="F266" s="81"/>
    </row>
    <row r="267">
      <c r="A267" s="84"/>
      <c r="F267" s="81"/>
    </row>
    <row r="268">
      <c r="A268" s="84"/>
      <c r="F268" s="81"/>
    </row>
    <row r="269">
      <c r="A269" s="84"/>
      <c r="F269" s="81"/>
    </row>
    <row r="270">
      <c r="A270" s="84"/>
      <c r="F270" s="81"/>
    </row>
    <row r="271">
      <c r="A271" s="84"/>
      <c r="F271" s="81"/>
    </row>
    <row r="272">
      <c r="A272" s="84"/>
      <c r="F272" s="81"/>
    </row>
    <row r="273">
      <c r="A273" s="84"/>
      <c r="F273" s="81"/>
    </row>
    <row r="274">
      <c r="A274" s="84"/>
      <c r="F274" s="81"/>
    </row>
    <row r="275">
      <c r="A275" s="84"/>
      <c r="F275" s="81"/>
    </row>
    <row r="276">
      <c r="A276" s="84"/>
      <c r="F276" s="81"/>
    </row>
    <row r="277">
      <c r="A277" s="84"/>
      <c r="F277" s="81"/>
    </row>
    <row r="278">
      <c r="A278" s="84"/>
      <c r="F278" s="81"/>
    </row>
    <row r="279">
      <c r="A279" s="84"/>
      <c r="F279" s="81"/>
    </row>
    <row r="280">
      <c r="A280" s="84"/>
      <c r="F280" s="81"/>
    </row>
    <row r="281">
      <c r="A281" s="84"/>
      <c r="F281" s="81"/>
    </row>
    <row r="282">
      <c r="A282" s="84"/>
      <c r="F282" s="81"/>
    </row>
    <row r="283">
      <c r="A283" s="84"/>
      <c r="F283" s="81"/>
    </row>
    <row r="284">
      <c r="A284" s="84"/>
      <c r="F284" s="81"/>
    </row>
    <row r="285">
      <c r="A285" s="84"/>
      <c r="F285" s="81"/>
    </row>
    <row r="286">
      <c r="A286" s="84"/>
      <c r="F286" s="81"/>
    </row>
    <row r="287">
      <c r="A287" s="84"/>
      <c r="F287" s="81"/>
    </row>
    <row r="288">
      <c r="A288" s="84"/>
      <c r="F288" s="81"/>
    </row>
    <row r="289">
      <c r="A289" s="84"/>
      <c r="F289" s="81"/>
    </row>
    <row r="290">
      <c r="A290" s="84"/>
      <c r="F290" s="81"/>
    </row>
    <row r="291">
      <c r="A291" s="84"/>
      <c r="F291" s="81"/>
    </row>
    <row r="292">
      <c r="A292" s="84"/>
      <c r="F292" s="81"/>
    </row>
    <row r="293">
      <c r="A293" s="84"/>
      <c r="F293" s="81"/>
    </row>
    <row r="294">
      <c r="A294" s="84"/>
      <c r="F294" s="81"/>
    </row>
    <row r="295">
      <c r="A295" s="84"/>
      <c r="F295" s="81"/>
    </row>
    <row r="296">
      <c r="A296" s="84"/>
      <c r="F296" s="81"/>
    </row>
    <row r="297">
      <c r="A297" s="84"/>
      <c r="F297" s="81"/>
    </row>
    <row r="298">
      <c r="A298" s="84"/>
      <c r="F298" s="81"/>
    </row>
    <row r="299">
      <c r="A299" s="84"/>
      <c r="F299" s="81"/>
    </row>
    <row r="300">
      <c r="A300" s="84"/>
      <c r="F300" s="81"/>
    </row>
    <row r="301">
      <c r="A301" s="84"/>
      <c r="F301" s="81"/>
    </row>
    <row r="302">
      <c r="A302" s="84"/>
      <c r="F302" s="81"/>
    </row>
    <row r="303">
      <c r="A303" s="84"/>
      <c r="F303" s="81"/>
    </row>
    <row r="304">
      <c r="A304" s="84"/>
      <c r="F304" s="81"/>
    </row>
    <row r="305">
      <c r="A305" s="84"/>
      <c r="F305" s="81"/>
    </row>
    <row r="306">
      <c r="A306" s="84"/>
      <c r="F306" s="81"/>
    </row>
    <row r="307">
      <c r="A307" s="84"/>
      <c r="F307" s="81"/>
    </row>
    <row r="308">
      <c r="A308" s="84"/>
      <c r="F308" s="81"/>
    </row>
    <row r="309">
      <c r="A309" s="84"/>
      <c r="F309" s="81"/>
    </row>
    <row r="310">
      <c r="A310" s="84"/>
      <c r="F310" s="81"/>
    </row>
    <row r="311">
      <c r="A311" s="84"/>
      <c r="F311" s="81"/>
    </row>
    <row r="312">
      <c r="A312" s="84"/>
      <c r="F312" s="81"/>
    </row>
    <row r="313">
      <c r="A313" s="84"/>
      <c r="F313" s="81"/>
    </row>
    <row r="314">
      <c r="A314" s="84"/>
      <c r="F314" s="81"/>
    </row>
    <row r="315">
      <c r="A315" s="84"/>
      <c r="F315" s="81"/>
    </row>
    <row r="316">
      <c r="A316" s="84"/>
      <c r="F316" s="81"/>
    </row>
    <row r="317">
      <c r="A317" s="84"/>
      <c r="F317" s="81"/>
    </row>
    <row r="318">
      <c r="A318" s="84"/>
      <c r="F318" s="81"/>
    </row>
    <row r="319">
      <c r="A319" s="84"/>
      <c r="F319" s="81"/>
    </row>
    <row r="320">
      <c r="A320" s="84"/>
      <c r="F320" s="81"/>
    </row>
    <row r="321">
      <c r="A321" s="84"/>
      <c r="F321" s="81"/>
    </row>
    <row r="322">
      <c r="A322" s="84"/>
      <c r="F322" s="81"/>
    </row>
    <row r="323">
      <c r="A323" s="84"/>
      <c r="F323" s="81"/>
    </row>
    <row r="324">
      <c r="A324" s="84"/>
      <c r="F324" s="81"/>
    </row>
    <row r="325">
      <c r="A325" s="84"/>
      <c r="F325" s="81"/>
    </row>
    <row r="326">
      <c r="A326" s="84"/>
      <c r="F326" s="81"/>
    </row>
    <row r="327">
      <c r="A327" s="84"/>
      <c r="F327" s="81"/>
    </row>
    <row r="328">
      <c r="A328" s="84"/>
      <c r="F328" s="81"/>
    </row>
    <row r="329">
      <c r="A329" s="84"/>
      <c r="F329" s="81"/>
    </row>
    <row r="330">
      <c r="A330" s="84"/>
      <c r="F330" s="81"/>
    </row>
    <row r="331">
      <c r="A331" s="84"/>
      <c r="F331" s="81"/>
    </row>
    <row r="332">
      <c r="A332" s="84"/>
      <c r="F332" s="81"/>
    </row>
    <row r="333">
      <c r="A333" s="84"/>
      <c r="F333" s="81"/>
    </row>
    <row r="334">
      <c r="A334" s="84"/>
      <c r="F334" s="81"/>
    </row>
    <row r="335">
      <c r="A335" s="84"/>
      <c r="F335" s="81"/>
    </row>
    <row r="336">
      <c r="A336" s="84"/>
      <c r="F336" s="81"/>
    </row>
    <row r="337">
      <c r="A337" s="84"/>
      <c r="F337" s="81"/>
    </row>
    <row r="338">
      <c r="A338" s="84"/>
      <c r="F338" s="81"/>
    </row>
    <row r="339">
      <c r="A339" s="84"/>
      <c r="F339" s="81"/>
    </row>
    <row r="340">
      <c r="A340" s="84"/>
      <c r="F340" s="81"/>
    </row>
    <row r="341">
      <c r="A341" s="84"/>
      <c r="F341" s="81"/>
    </row>
    <row r="342">
      <c r="A342" s="84"/>
      <c r="F342" s="81"/>
    </row>
    <row r="343">
      <c r="A343" s="84"/>
      <c r="F343" s="81"/>
    </row>
    <row r="344">
      <c r="A344" s="84"/>
      <c r="F344" s="81"/>
    </row>
    <row r="345">
      <c r="A345" s="84"/>
      <c r="F345" s="81"/>
    </row>
    <row r="346">
      <c r="A346" s="84"/>
      <c r="F346" s="81"/>
    </row>
    <row r="347">
      <c r="A347" s="84"/>
      <c r="F347" s="81"/>
    </row>
    <row r="348">
      <c r="A348" s="84"/>
      <c r="F348" s="81"/>
    </row>
    <row r="349">
      <c r="A349" s="84"/>
      <c r="F349" s="81"/>
    </row>
    <row r="350">
      <c r="A350" s="84"/>
      <c r="F350" s="81"/>
    </row>
    <row r="351">
      <c r="A351" s="84"/>
      <c r="F351" s="81"/>
    </row>
    <row r="352">
      <c r="A352" s="84"/>
      <c r="F352" s="81"/>
    </row>
    <row r="353">
      <c r="A353" s="84"/>
      <c r="F353" s="81"/>
    </row>
    <row r="354">
      <c r="A354" s="84"/>
      <c r="F354" s="81"/>
    </row>
    <row r="355">
      <c r="A355" s="84"/>
      <c r="F355" s="81"/>
    </row>
    <row r="356">
      <c r="A356" s="84"/>
      <c r="F356" s="81"/>
    </row>
    <row r="357">
      <c r="A357" s="84"/>
      <c r="F357" s="81"/>
    </row>
    <row r="358">
      <c r="A358" s="84"/>
      <c r="F358" s="81"/>
    </row>
    <row r="359">
      <c r="A359" s="84"/>
      <c r="F359" s="81"/>
    </row>
    <row r="360">
      <c r="A360" s="84"/>
      <c r="F360" s="81"/>
    </row>
    <row r="361">
      <c r="A361" s="84"/>
      <c r="F361" s="81"/>
    </row>
    <row r="362">
      <c r="A362" s="84"/>
      <c r="F362" s="81"/>
    </row>
    <row r="363">
      <c r="A363" s="84"/>
      <c r="F363" s="81"/>
    </row>
    <row r="364">
      <c r="A364" s="84"/>
      <c r="F364" s="81"/>
    </row>
    <row r="365">
      <c r="A365" s="84"/>
      <c r="F365" s="81"/>
    </row>
    <row r="366">
      <c r="A366" s="84"/>
      <c r="F366" s="81"/>
    </row>
    <row r="367">
      <c r="A367" s="84"/>
      <c r="F367" s="81"/>
    </row>
    <row r="368">
      <c r="A368" s="84"/>
      <c r="F368" s="81"/>
    </row>
    <row r="369">
      <c r="A369" s="84"/>
      <c r="F369" s="81"/>
    </row>
    <row r="370">
      <c r="A370" s="84"/>
      <c r="F370" s="81"/>
    </row>
    <row r="371">
      <c r="A371" s="84"/>
      <c r="F371" s="81"/>
    </row>
    <row r="372">
      <c r="A372" s="84"/>
      <c r="F372" s="81"/>
    </row>
    <row r="373">
      <c r="A373" s="84"/>
      <c r="F373" s="81"/>
    </row>
    <row r="374">
      <c r="A374" s="84"/>
      <c r="F374" s="81"/>
    </row>
    <row r="375">
      <c r="A375" s="84"/>
      <c r="F375" s="81"/>
    </row>
    <row r="376">
      <c r="A376" s="84"/>
      <c r="F376" s="81"/>
    </row>
    <row r="377">
      <c r="A377" s="84"/>
      <c r="F377" s="81"/>
    </row>
    <row r="378">
      <c r="A378" s="84"/>
      <c r="F378" s="81"/>
    </row>
    <row r="379">
      <c r="A379" s="84"/>
      <c r="F379" s="81"/>
    </row>
    <row r="380">
      <c r="A380" s="84"/>
      <c r="F380" s="81"/>
    </row>
    <row r="381">
      <c r="A381" s="84"/>
      <c r="F381" s="81"/>
    </row>
    <row r="382">
      <c r="A382" s="84"/>
      <c r="F382" s="81"/>
    </row>
    <row r="383">
      <c r="A383" s="84"/>
      <c r="F383" s="81"/>
    </row>
    <row r="384">
      <c r="A384" s="84"/>
      <c r="F384" s="81"/>
    </row>
    <row r="385">
      <c r="A385" s="84"/>
      <c r="F385" s="81"/>
    </row>
    <row r="386">
      <c r="A386" s="84"/>
      <c r="F386" s="81"/>
    </row>
    <row r="387">
      <c r="A387" s="84"/>
      <c r="F387" s="81"/>
    </row>
    <row r="388">
      <c r="A388" s="84"/>
      <c r="F388" s="81"/>
    </row>
    <row r="389">
      <c r="A389" s="84"/>
      <c r="F389" s="81"/>
    </row>
    <row r="390">
      <c r="A390" s="84"/>
      <c r="F390" s="81"/>
    </row>
    <row r="391">
      <c r="A391" s="84"/>
      <c r="F391" s="81"/>
    </row>
    <row r="392">
      <c r="A392" s="84"/>
      <c r="F392" s="81"/>
    </row>
    <row r="393">
      <c r="A393" s="84"/>
      <c r="F393" s="81"/>
    </row>
    <row r="394">
      <c r="A394" s="84"/>
      <c r="F394" s="81"/>
    </row>
    <row r="395">
      <c r="A395" s="84"/>
      <c r="F395" s="81"/>
    </row>
    <row r="396">
      <c r="A396" s="84"/>
      <c r="F396" s="81"/>
    </row>
    <row r="397">
      <c r="A397" s="84"/>
      <c r="F397" s="81"/>
    </row>
    <row r="398">
      <c r="A398" s="84"/>
      <c r="F398" s="81"/>
    </row>
    <row r="399">
      <c r="A399" s="84"/>
      <c r="F399" s="81"/>
    </row>
    <row r="400">
      <c r="A400" s="84"/>
      <c r="F400" s="81"/>
    </row>
    <row r="401">
      <c r="A401" s="84"/>
      <c r="F401" s="81"/>
    </row>
    <row r="402">
      <c r="A402" s="84"/>
      <c r="F402" s="81"/>
    </row>
    <row r="403">
      <c r="A403" s="84"/>
      <c r="F403" s="81"/>
    </row>
    <row r="404">
      <c r="A404" s="84"/>
      <c r="F404" s="81"/>
    </row>
    <row r="405">
      <c r="A405" s="84"/>
      <c r="F405" s="81"/>
    </row>
    <row r="406">
      <c r="A406" s="84"/>
      <c r="F406" s="81"/>
    </row>
    <row r="407">
      <c r="A407" s="84"/>
      <c r="F407" s="81"/>
    </row>
    <row r="408">
      <c r="A408" s="84"/>
      <c r="F408" s="81"/>
    </row>
    <row r="409">
      <c r="A409" s="84"/>
      <c r="F409" s="81"/>
    </row>
    <row r="410">
      <c r="A410" s="84"/>
      <c r="F410" s="81"/>
    </row>
    <row r="411">
      <c r="A411" s="84"/>
      <c r="F411" s="81"/>
    </row>
    <row r="412">
      <c r="A412" s="84"/>
      <c r="F412" s="81"/>
    </row>
    <row r="413">
      <c r="A413" s="84"/>
      <c r="F413" s="81"/>
    </row>
    <row r="414">
      <c r="A414" s="84"/>
      <c r="F414" s="81"/>
    </row>
    <row r="415">
      <c r="A415" s="84"/>
      <c r="F415" s="81"/>
    </row>
    <row r="416">
      <c r="A416" s="84"/>
      <c r="F416" s="81"/>
    </row>
    <row r="417">
      <c r="A417" s="84"/>
      <c r="F417" s="81"/>
    </row>
    <row r="418">
      <c r="A418" s="84"/>
      <c r="F418" s="81"/>
    </row>
    <row r="419">
      <c r="A419" s="84"/>
      <c r="F419" s="81"/>
    </row>
    <row r="420">
      <c r="A420" s="84"/>
      <c r="F420" s="81"/>
    </row>
    <row r="421">
      <c r="A421" s="84"/>
      <c r="F421" s="81"/>
    </row>
    <row r="422">
      <c r="A422" s="84"/>
      <c r="F422" s="81"/>
    </row>
    <row r="423">
      <c r="A423" s="84"/>
      <c r="F423" s="81"/>
    </row>
    <row r="424">
      <c r="A424" s="84"/>
      <c r="F424" s="81"/>
    </row>
    <row r="425">
      <c r="A425" s="84"/>
      <c r="F425" s="81"/>
    </row>
    <row r="426">
      <c r="A426" s="84"/>
      <c r="F426" s="81"/>
    </row>
    <row r="427">
      <c r="A427" s="84"/>
      <c r="F427" s="81"/>
    </row>
    <row r="428">
      <c r="A428" s="84"/>
      <c r="F428" s="81"/>
    </row>
    <row r="429">
      <c r="A429" s="84"/>
      <c r="F429" s="81"/>
    </row>
    <row r="430">
      <c r="A430" s="84"/>
      <c r="F430" s="81"/>
    </row>
    <row r="431">
      <c r="A431" s="84"/>
      <c r="F431" s="81"/>
    </row>
    <row r="432">
      <c r="A432" s="84"/>
      <c r="F432" s="81"/>
    </row>
    <row r="433">
      <c r="A433" s="84"/>
      <c r="F433" s="81"/>
    </row>
    <row r="434">
      <c r="A434" s="84"/>
      <c r="F434" s="81"/>
    </row>
    <row r="435">
      <c r="A435" s="84"/>
      <c r="F435" s="81"/>
    </row>
    <row r="436">
      <c r="A436" s="84"/>
      <c r="F436" s="81"/>
    </row>
    <row r="437">
      <c r="A437" s="84"/>
      <c r="F437" s="81"/>
    </row>
    <row r="438">
      <c r="A438" s="84"/>
      <c r="F438" s="81"/>
    </row>
    <row r="439">
      <c r="A439" s="84"/>
      <c r="F439" s="81"/>
    </row>
    <row r="440">
      <c r="A440" s="84"/>
      <c r="F440" s="81"/>
    </row>
    <row r="441">
      <c r="A441" s="84"/>
      <c r="F441" s="81"/>
    </row>
    <row r="442">
      <c r="A442" s="84"/>
      <c r="F442" s="81"/>
    </row>
    <row r="443">
      <c r="A443" s="84"/>
      <c r="F443" s="81"/>
    </row>
    <row r="444">
      <c r="A444" s="84"/>
      <c r="F444" s="81"/>
    </row>
    <row r="445">
      <c r="A445" s="84"/>
      <c r="F445" s="81"/>
    </row>
    <row r="446">
      <c r="A446" s="84"/>
      <c r="F446" s="81"/>
    </row>
    <row r="447">
      <c r="A447" s="84"/>
      <c r="F447" s="81"/>
    </row>
    <row r="448">
      <c r="A448" s="84"/>
      <c r="F448" s="81"/>
    </row>
    <row r="449">
      <c r="A449" s="84"/>
      <c r="F449" s="81"/>
    </row>
    <row r="450">
      <c r="A450" s="84"/>
      <c r="F450" s="81"/>
    </row>
    <row r="451">
      <c r="A451" s="84"/>
      <c r="F451" s="81"/>
    </row>
    <row r="452">
      <c r="A452" s="84"/>
      <c r="F452" s="81"/>
    </row>
    <row r="453">
      <c r="A453" s="84"/>
      <c r="F453" s="81"/>
    </row>
    <row r="454">
      <c r="A454" s="84"/>
      <c r="F454" s="81"/>
    </row>
    <row r="455">
      <c r="A455" s="84"/>
      <c r="F455" s="81"/>
    </row>
    <row r="456">
      <c r="A456" s="84"/>
      <c r="F456" s="81"/>
    </row>
    <row r="457">
      <c r="A457" s="84"/>
      <c r="F457" s="81"/>
    </row>
    <row r="458">
      <c r="A458" s="84"/>
      <c r="F458" s="81"/>
    </row>
    <row r="459">
      <c r="A459" s="84"/>
      <c r="F459" s="81"/>
    </row>
    <row r="460">
      <c r="A460" s="84"/>
      <c r="F460" s="81"/>
    </row>
    <row r="461">
      <c r="A461" s="84"/>
      <c r="F461" s="81"/>
    </row>
    <row r="462">
      <c r="A462" s="84"/>
      <c r="F462" s="81"/>
    </row>
    <row r="463">
      <c r="A463" s="84"/>
      <c r="F463" s="81"/>
    </row>
    <row r="464">
      <c r="A464" s="84"/>
      <c r="F464" s="81"/>
    </row>
    <row r="465">
      <c r="A465" s="84"/>
      <c r="F465" s="81"/>
    </row>
    <row r="466">
      <c r="A466" s="84"/>
      <c r="F466" s="81"/>
    </row>
    <row r="467">
      <c r="A467" s="84"/>
      <c r="F467" s="81"/>
    </row>
    <row r="468">
      <c r="A468" s="84"/>
      <c r="F468" s="81"/>
    </row>
    <row r="469">
      <c r="A469" s="84"/>
      <c r="F469" s="81"/>
    </row>
    <row r="470">
      <c r="A470" s="84"/>
      <c r="F470" s="81"/>
    </row>
    <row r="471">
      <c r="A471" s="84"/>
      <c r="F471" s="81"/>
    </row>
    <row r="472">
      <c r="A472" s="84"/>
      <c r="F472" s="81"/>
    </row>
    <row r="473">
      <c r="A473" s="84"/>
      <c r="F473" s="81"/>
    </row>
    <row r="474">
      <c r="A474" s="84"/>
      <c r="F474" s="81"/>
    </row>
    <row r="475">
      <c r="A475" s="84"/>
      <c r="F475" s="81"/>
    </row>
    <row r="476">
      <c r="A476" s="84"/>
      <c r="F476" s="81"/>
    </row>
    <row r="477">
      <c r="A477" s="84"/>
      <c r="F477" s="81"/>
    </row>
    <row r="478">
      <c r="A478" s="84"/>
      <c r="F478" s="81"/>
    </row>
    <row r="479">
      <c r="A479" s="84"/>
      <c r="F479" s="81"/>
    </row>
    <row r="480">
      <c r="A480" s="84"/>
      <c r="F480" s="81"/>
    </row>
    <row r="481">
      <c r="A481" s="84"/>
      <c r="F481" s="81"/>
    </row>
    <row r="482">
      <c r="A482" s="84"/>
      <c r="F482" s="81"/>
    </row>
    <row r="483">
      <c r="A483" s="84"/>
      <c r="F483" s="81"/>
    </row>
    <row r="484">
      <c r="A484" s="84"/>
      <c r="F484" s="81"/>
    </row>
    <row r="485">
      <c r="A485" s="84"/>
      <c r="F485" s="81"/>
    </row>
    <row r="486">
      <c r="A486" s="84"/>
      <c r="F486" s="81"/>
    </row>
    <row r="487">
      <c r="A487" s="84"/>
      <c r="F487" s="81"/>
    </row>
    <row r="488">
      <c r="A488" s="84"/>
      <c r="F488" s="81"/>
    </row>
    <row r="489">
      <c r="A489" s="84"/>
      <c r="F489" s="81"/>
    </row>
    <row r="490">
      <c r="A490" s="84"/>
      <c r="F490" s="81"/>
    </row>
    <row r="491">
      <c r="A491" s="84"/>
      <c r="F491" s="81"/>
    </row>
    <row r="492">
      <c r="A492" s="84"/>
      <c r="F492" s="81"/>
    </row>
    <row r="493">
      <c r="A493" s="84"/>
      <c r="F493" s="81"/>
    </row>
    <row r="494">
      <c r="A494" s="84"/>
      <c r="F494" s="81"/>
    </row>
    <row r="495">
      <c r="A495" s="84"/>
      <c r="F495" s="81"/>
    </row>
    <row r="496">
      <c r="A496" s="84"/>
      <c r="F496" s="81"/>
    </row>
    <row r="497">
      <c r="A497" s="84"/>
      <c r="F497" s="81"/>
    </row>
    <row r="498">
      <c r="A498" s="84"/>
      <c r="F498" s="81"/>
    </row>
    <row r="499">
      <c r="A499" s="84"/>
      <c r="F499" s="81"/>
    </row>
    <row r="500">
      <c r="A500" s="84"/>
      <c r="F500" s="81"/>
    </row>
    <row r="501">
      <c r="A501" s="84"/>
      <c r="F501" s="81"/>
    </row>
    <row r="502">
      <c r="A502" s="84"/>
      <c r="F502" s="81"/>
    </row>
    <row r="503">
      <c r="A503" s="84"/>
      <c r="F503" s="81"/>
    </row>
    <row r="504">
      <c r="A504" s="84"/>
      <c r="F504" s="81"/>
    </row>
    <row r="505">
      <c r="A505" s="84"/>
      <c r="F505" s="81"/>
    </row>
    <row r="506">
      <c r="A506" s="84"/>
      <c r="F506" s="81"/>
    </row>
    <row r="507">
      <c r="A507" s="84"/>
      <c r="F507" s="81"/>
    </row>
    <row r="508">
      <c r="A508" s="84"/>
      <c r="F508" s="81"/>
    </row>
    <row r="509">
      <c r="A509" s="84"/>
      <c r="F509" s="81"/>
    </row>
    <row r="510">
      <c r="A510" s="84"/>
      <c r="F510" s="81"/>
    </row>
    <row r="511">
      <c r="A511" s="84"/>
      <c r="F511" s="81"/>
    </row>
    <row r="512">
      <c r="A512" s="84"/>
      <c r="F512" s="81"/>
    </row>
    <row r="513">
      <c r="A513" s="84"/>
      <c r="F513" s="81"/>
    </row>
    <row r="514">
      <c r="A514" s="84"/>
      <c r="F514" s="81"/>
    </row>
    <row r="515">
      <c r="A515" s="84"/>
      <c r="F515" s="81"/>
    </row>
    <row r="516">
      <c r="A516" s="84"/>
      <c r="F516" s="81"/>
    </row>
    <row r="517">
      <c r="A517" s="84"/>
      <c r="F517" s="81"/>
    </row>
    <row r="518">
      <c r="A518" s="84"/>
      <c r="F518" s="81"/>
    </row>
    <row r="519">
      <c r="A519" s="84"/>
      <c r="F519" s="81"/>
    </row>
    <row r="520">
      <c r="A520" s="84"/>
      <c r="F520" s="81"/>
    </row>
    <row r="521">
      <c r="A521" s="84"/>
      <c r="F521" s="81"/>
    </row>
    <row r="522">
      <c r="A522" s="84"/>
      <c r="F522" s="81"/>
    </row>
    <row r="523">
      <c r="A523" s="84"/>
      <c r="F523" s="81"/>
    </row>
    <row r="524">
      <c r="A524" s="84"/>
      <c r="F524" s="81"/>
    </row>
    <row r="525">
      <c r="A525" s="84"/>
      <c r="F525" s="81"/>
    </row>
    <row r="526">
      <c r="A526" s="84"/>
      <c r="F526" s="81"/>
    </row>
    <row r="527">
      <c r="A527" s="84"/>
      <c r="F527" s="81"/>
    </row>
    <row r="528">
      <c r="A528" s="84"/>
      <c r="F528" s="81"/>
    </row>
    <row r="529">
      <c r="A529" s="84"/>
      <c r="F529" s="81"/>
    </row>
    <row r="530">
      <c r="A530" s="84"/>
      <c r="F530" s="81"/>
    </row>
    <row r="531">
      <c r="A531" s="84"/>
      <c r="F531" s="81"/>
    </row>
    <row r="532">
      <c r="A532" s="84"/>
      <c r="F532" s="81"/>
    </row>
    <row r="533">
      <c r="A533" s="84"/>
      <c r="F533" s="81"/>
    </row>
    <row r="534">
      <c r="A534" s="84"/>
      <c r="F534" s="81"/>
    </row>
    <row r="535">
      <c r="A535" s="84"/>
      <c r="F535" s="81"/>
    </row>
    <row r="536">
      <c r="A536" s="84"/>
      <c r="F536" s="81"/>
    </row>
    <row r="537">
      <c r="A537" s="84"/>
      <c r="F537" s="81"/>
    </row>
    <row r="538">
      <c r="A538" s="84"/>
      <c r="F538" s="81"/>
    </row>
    <row r="539">
      <c r="A539" s="84"/>
      <c r="F539" s="81"/>
    </row>
    <row r="540">
      <c r="A540" s="84"/>
      <c r="F540" s="81"/>
    </row>
    <row r="541">
      <c r="A541" s="84"/>
      <c r="F541" s="81"/>
    </row>
    <row r="542">
      <c r="A542" s="84"/>
      <c r="F542" s="81"/>
    </row>
    <row r="543">
      <c r="A543" s="84"/>
      <c r="F543" s="81"/>
    </row>
    <row r="544">
      <c r="A544" s="84"/>
      <c r="F544" s="81"/>
    </row>
    <row r="545">
      <c r="A545" s="84"/>
      <c r="F545" s="81"/>
    </row>
    <row r="546">
      <c r="A546" s="84"/>
      <c r="F546" s="81"/>
    </row>
    <row r="547">
      <c r="A547" s="84"/>
      <c r="F547" s="81"/>
    </row>
    <row r="548">
      <c r="A548" s="84"/>
      <c r="F548" s="81"/>
    </row>
    <row r="549">
      <c r="A549" s="84"/>
      <c r="F549" s="81"/>
    </row>
    <row r="550">
      <c r="A550" s="84"/>
      <c r="F550" s="81"/>
    </row>
    <row r="551">
      <c r="A551" s="84"/>
      <c r="F551" s="81"/>
    </row>
    <row r="552">
      <c r="A552" s="84"/>
      <c r="F552" s="81"/>
    </row>
    <row r="553">
      <c r="A553" s="84"/>
      <c r="F553" s="81"/>
    </row>
    <row r="554">
      <c r="A554" s="84"/>
      <c r="F554" s="81"/>
    </row>
    <row r="555">
      <c r="A555" s="84"/>
      <c r="F555" s="81"/>
    </row>
    <row r="556">
      <c r="A556" s="84"/>
      <c r="F556" s="81"/>
    </row>
    <row r="557">
      <c r="A557" s="84"/>
      <c r="F557" s="81"/>
    </row>
    <row r="558">
      <c r="A558" s="84"/>
      <c r="F558" s="81"/>
    </row>
    <row r="559">
      <c r="A559" s="84"/>
      <c r="F559" s="81"/>
    </row>
    <row r="560">
      <c r="A560" s="84"/>
      <c r="F560" s="81"/>
    </row>
    <row r="561">
      <c r="A561" s="84"/>
      <c r="F561" s="81"/>
    </row>
    <row r="562">
      <c r="A562" s="84"/>
      <c r="F562" s="81"/>
    </row>
    <row r="563">
      <c r="A563" s="84"/>
      <c r="F563" s="81"/>
    </row>
    <row r="564">
      <c r="A564" s="84"/>
      <c r="F564" s="81"/>
    </row>
    <row r="565">
      <c r="A565" s="84"/>
      <c r="F565" s="81"/>
    </row>
    <row r="566">
      <c r="A566" s="84"/>
      <c r="F566" s="81"/>
    </row>
    <row r="567">
      <c r="A567" s="84"/>
      <c r="F567" s="81"/>
    </row>
    <row r="568">
      <c r="A568" s="84"/>
      <c r="F568" s="81"/>
    </row>
    <row r="569">
      <c r="A569" s="84"/>
      <c r="F569" s="81"/>
    </row>
    <row r="570">
      <c r="A570" s="84"/>
      <c r="F570" s="81"/>
    </row>
    <row r="571">
      <c r="A571" s="84"/>
      <c r="F571" s="81"/>
    </row>
    <row r="572">
      <c r="A572" s="84"/>
      <c r="F572" s="81"/>
    </row>
    <row r="573">
      <c r="A573" s="84"/>
      <c r="F573" s="81"/>
    </row>
    <row r="574">
      <c r="A574" s="84"/>
      <c r="F574" s="81"/>
    </row>
    <row r="575">
      <c r="A575" s="84"/>
      <c r="F575" s="81"/>
    </row>
    <row r="576">
      <c r="A576" s="84"/>
      <c r="F576" s="81"/>
    </row>
    <row r="577">
      <c r="A577" s="84"/>
      <c r="F577" s="81"/>
    </row>
    <row r="578">
      <c r="A578" s="84"/>
      <c r="F578" s="81"/>
    </row>
    <row r="579">
      <c r="A579" s="84"/>
      <c r="F579" s="81"/>
    </row>
    <row r="580">
      <c r="A580" s="84"/>
      <c r="F580" s="81"/>
    </row>
    <row r="581">
      <c r="A581" s="84"/>
      <c r="F581" s="81"/>
    </row>
    <row r="582">
      <c r="A582" s="84"/>
      <c r="F582" s="81"/>
    </row>
    <row r="583">
      <c r="A583" s="84"/>
      <c r="F583" s="81"/>
    </row>
    <row r="584">
      <c r="A584" s="84"/>
      <c r="F584" s="81"/>
    </row>
    <row r="585">
      <c r="A585" s="84"/>
      <c r="F585" s="81"/>
    </row>
    <row r="586">
      <c r="A586" s="84"/>
      <c r="F586" s="81"/>
    </row>
    <row r="587">
      <c r="A587" s="84"/>
      <c r="F587" s="81"/>
    </row>
    <row r="588">
      <c r="A588" s="84"/>
      <c r="F588" s="81"/>
    </row>
    <row r="589">
      <c r="A589" s="84"/>
      <c r="F589" s="81"/>
    </row>
    <row r="590">
      <c r="A590" s="84"/>
      <c r="F590" s="81"/>
    </row>
    <row r="591">
      <c r="A591" s="84"/>
      <c r="F591" s="81"/>
    </row>
    <row r="592">
      <c r="A592" s="84"/>
      <c r="F592" s="81"/>
    </row>
    <row r="593">
      <c r="A593" s="84"/>
      <c r="F593" s="81"/>
    </row>
    <row r="594">
      <c r="A594" s="84"/>
      <c r="F594" s="81"/>
    </row>
    <row r="595">
      <c r="A595" s="84"/>
      <c r="F595" s="81"/>
    </row>
    <row r="596">
      <c r="A596" s="84"/>
      <c r="F596" s="81"/>
    </row>
    <row r="597">
      <c r="A597" s="84"/>
      <c r="F597" s="81"/>
    </row>
    <row r="598">
      <c r="A598" s="84"/>
      <c r="F598" s="81"/>
    </row>
    <row r="599">
      <c r="A599" s="84"/>
      <c r="F599" s="81"/>
    </row>
    <row r="600">
      <c r="A600" s="84"/>
      <c r="F600" s="81"/>
    </row>
    <row r="601">
      <c r="A601" s="84"/>
      <c r="F601" s="81"/>
    </row>
    <row r="602">
      <c r="A602" s="84"/>
      <c r="F602" s="81"/>
    </row>
    <row r="603">
      <c r="A603" s="84"/>
      <c r="F603" s="81"/>
    </row>
    <row r="604">
      <c r="A604" s="84"/>
      <c r="F604" s="81"/>
    </row>
    <row r="605">
      <c r="A605" s="84"/>
      <c r="F605" s="81"/>
    </row>
    <row r="606">
      <c r="A606" s="84"/>
      <c r="F606" s="81"/>
    </row>
    <row r="607">
      <c r="A607" s="84"/>
      <c r="F607" s="81"/>
    </row>
    <row r="608">
      <c r="A608" s="84"/>
      <c r="F608" s="81"/>
    </row>
    <row r="609">
      <c r="A609" s="84"/>
      <c r="F609" s="81"/>
    </row>
    <row r="610">
      <c r="A610" s="84"/>
      <c r="F610" s="81"/>
    </row>
    <row r="611">
      <c r="A611" s="84"/>
      <c r="F611" s="81"/>
    </row>
    <row r="612">
      <c r="A612" s="84"/>
      <c r="F612" s="81"/>
    </row>
    <row r="613">
      <c r="A613" s="84"/>
      <c r="F613" s="81"/>
    </row>
    <row r="614">
      <c r="A614" s="84"/>
      <c r="F614" s="81"/>
    </row>
    <row r="615">
      <c r="A615" s="84"/>
      <c r="F615" s="81"/>
    </row>
    <row r="616">
      <c r="A616" s="84"/>
      <c r="F616" s="81"/>
    </row>
    <row r="617">
      <c r="A617" s="84"/>
      <c r="F617" s="81"/>
    </row>
    <row r="618">
      <c r="A618" s="84"/>
      <c r="F618" s="81"/>
    </row>
    <row r="619">
      <c r="A619" s="84"/>
      <c r="F619" s="81"/>
    </row>
    <row r="620">
      <c r="A620" s="84"/>
      <c r="F620" s="81"/>
    </row>
    <row r="621">
      <c r="A621" s="84"/>
      <c r="F621" s="81"/>
    </row>
    <row r="622">
      <c r="A622" s="84"/>
      <c r="F622" s="81"/>
    </row>
    <row r="623">
      <c r="A623" s="84"/>
      <c r="F623" s="81"/>
    </row>
    <row r="624">
      <c r="A624" s="84"/>
      <c r="F624" s="81"/>
    </row>
    <row r="625">
      <c r="A625" s="84"/>
      <c r="F625" s="81"/>
    </row>
    <row r="626">
      <c r="A626" s="84"/>
      <c r="F626" s="81"/>
    </row>
    <row r="627">
      <c r="A627" s="84"/>
      <c r="F627" s="81"/>
    </row>
    <row r="628">
      <c r="A628" s="84"/>
      <c r="F628" s="81"/>
    </row>
    <row r="629">
      <c r="A629" s="84"/>
      <c r="F629" s="81"/>
    </row>
    <row r="630">
      <c r="A630" s="84"/>
      <c r="F630" s="81"/>
    </row>
    <row r="631">
      <c r="A631" s="84"/>
      <c r="F631" s="81"/>
    </row>
    <row r="632">
      <c r="A632" s="84"/>
      <c r="F632" s="81"/>
    </row>
    <row r="633">
      <c r="A633" s="84"/>
      <c r="F633" s="81"/>
    </row>
    <row r="634">
      <c r="A634" s="84"/>
      <c r="F634" s="81"/>
    </row>
    <row r="635">
      <c r="A635" s="84"/>
      <c r="F635" s="81"/>
    </row>
    <row r="636">
      <c r="A636" s="84"/>
      <c r="F636" s="81"/>
    </row>
    <row r="637">
      <c r="A637" s="84"/>
      <c r="F637" s="81"/>
    </row>
    <row r="638">
      <c r="A638" s="84"/>
      <c r="F638" s="81"/>
    </row>
    <row r="639">
      <c r="A639" s="84"/>
      <c r="F639" s="81"/>
    </row>
    <row r="640">
      <c r="A640" s="84"/>
      <c r="F640" s="81"/>
    </row>
    <row r="641">
      <c r="A641" s="84"/>
      <c r="F641" s="81"/>
    </row>
    <row r="642">
      <c r="A642" s="84"/>
      <c r="F642" s="81"/>
    </row>
    <row r="643">
      <c r="A643" s="84"/>
      <c r="F643" s="81"/>
    </row>
    <row r="644">
      <c r="A644" s="84"/>
      <c r="F644" s="81"/>
    </row>
    <row r="645">
      <c r="A645" s="84"/>
      <c r="F645" s="81"/>
    </row>
    <row r="646">
      <c r="A646" s="84"/>
      <c r="F646" s="81"/>
    </row>
    <row r="647">
      <c r="A647" s="84"/>
      <c r="F647" s="81"/>
    </row>
    <row r="648">
      <c r="A648" s="84"/>
      <c r="F648" s="81"/>
    </row>
    <row r="649">
      <c r="A649" s="84"/>
      <c r="F649" s="81"/>
    </row>
    <row r="650">
      <c r="A650" s="84"/>
      <c r="F650" s="81"/>
    </row>
    <row r="651">
      <c r="A651" s="84"/>
      <c r="F651" s="81"/>
    </row>
    <row r="652">
      <c r="A652" s="84"/>
      <c r="F652" s="81"/>
    </row>
    <row r="653">
      <c r="A653" s="84"/>
      <c r="F653" s="81"/>
    </row>
    <row r="654">
      <c r="A654" s="84"/>
      <c r="F654" s="81"/>
    </row>
    <row r="655">
      <c r="A655" s="84"/>
      <c r="F655" s="81"/>
    </row>
    <row r="656">
      <c r="A656" s="84"/>
      <c r="F656" s="81"/>
    </row>
    <row r="657">
      <c r="A657" s="84"/>
      <c r="F657" s="81"/>
    </row>
    <row r="658">
      <c r="A658" s="84"/>
      <c r="F658" s="81"/>
    </row>
    <row r="659">
      <c r="A659" s="84"/>
      <c r="F659" s="81"/>
    </row>
    <row r="660">
      <c r="A660" s="84"/>
      <c r="F660" s="81"/>
    </row>
    <row r="661">
      <c r="A661" s="84"/>
      <c r="F661" s="81"/>
    </row>
    <row r="662">
      <c r="A662" s="84"/>
      <c r="F662" s="81"/>
    </row>
    <row r="663">
      <c r="A663" s="84"/>
      <c r="F663" s="81"/>
    </row>
    <row r="664">
      <c r="A664" s="84"/>
      <c r="F664" s="81"/>
    </row>
    <row r="665">
      <c r="A665" s="84"/>
      <c r="F665" s="81"/>
    </row>
    <row r="666">
      <c r="A666" s="84"/>
      <c r="F666" s="81"/>
    </row>
    <row r="667">
      <c r="A667" s="84"/>
      <c r="F667" s="81"/>
    </row>
    <row r="668">
      <c r="A668" s="84"/>
      <c r="F668" s="81"/>
    </row>
    <row r="669">
      <c r="A669" s="84"/>
      <c r="F669" s="81"/>
    </row>
    <row r="670">
      <c r="A670" s="84"/>
      <c r="F670" s="81"/>
    </row>
    <row r="671">
      <c r="A671" s="84"/>
      <c r="F671" s="81"/>
    </row>
    <row r="672">
      <c r="A672" s="84"/>
      <c r="F672" s="81"/>
    </row>
    <row r="673">
      <c r="A673" s="84"/>
      <c r="F673" s="81"/>
    </row>
    <row r="674">
      <c r="A674" s="84"/>
      <c r="F674" s="81"/>
    </row>
    <row r="675">
      <c r="A675" s="84"/>
      <c r="F675" s="81"/>
    </row>
    <row r="676">
      <c r="A676" s="84"/>
      <c r="F676" s="81"/>
    </row>
    <row r="677">
      <c r="A677" s="84"/>
      <c r="F677" s="81"/>
    </row>
    <row r="678">
      <c r="A678" s="84"/>
      <c r="F678" s="81"/>
    </row>
    <row r="679">
      <c r="A679" s="84"/>
      <c r="F679" s="81"/>
    </row>
    <row r="680">
      <c r="A680" s="84"/>
      <c r="F680" s="81"/>
    </row>
    <row r="681">
      <c r="A681" s="84"/>
      <c r="F681" s="81"/>
    </row>
    <row r="682">
      <c r="A682" s="84"/>
      <c r="F682" s="81"/>
    </row>
    <row r="683">
      <c r="A683" s="84"/>
      <c r="F683" s="81"/>
    </row>
    <row r="684">
      <c r="A684" s="84"/>
      <c r="F684" s="81"/>
    </row>
    <row r="685">
      <c r="A685" s="84"/>
      <c r="F685" s="81"/>
    </row>
    <row r="686">
      <c r="A686" s="84"/>
      <c r="F686" s="81"/>
    </row>
    <row r="687">
      <c r="A687" s="84"/>
      <c r="F687" s="81"/>
    </row>
    <row r="688">
      <c r="A688" s="84"/>
      <c r="F688" s="81"/>
    </row>
    <row r="689">
      <c r="A689" s="84"/>
      <c r="F689" s="81"/>
    </row>
    <row r="690">
      <c r="A690" s="84"/>
      <c r="F690" s="81"/>
    </row>
    <row r="691">
      <c r="A691" s="84"/>
      <c r="F691" s="81"/>
    </row>
    <row r="692">
      <c r="A692" s="84"/>
      <c r="F692" s="81"/>
    </row>
    <row r="693">
      <c r="A693" s="84"/>
      <c r="F693" s="81"/>
    </row>
    <row r="694">
      <c r="A694" s="84"/>
      <c r="F694" s="81"/>
    </row>
    <row r="695">
      <c r="A695" s="84"/>
      <c r="F695" s="81"/>
    </row>
    <row r="696">
      <c r="A696" s="84"/>
      <c r="F696" s="81"/>
    </row>
    <row r="697">
      <c r="A697" s="84"/>
      <c r="F697" s="81"/>
    </row>
    <row r="698">
      <c r="A698" s="84"/>
      <c r="F698" s="81"/>
    </row>
    <row r="699">
      <c r="A699" s="84"/>
      <c r="F699" s="81"/>
    </row>
    <row r="700">
      <c r="A700" s="84"/>
      <c r="F700" s="81"/>
    </row>
    <row r="701">
      <c r="A701" s="84"/>
      <c r="F701" s="81"/>
    </row>
    <row r="702">
      <c r="A702" s="84"/>
      <c r="F702" s="81"/>
    </row>
    <row r="703">
      <c r="A703" s="84"/>
      <c r="F703" s="81"/>
    </row>
    <row r="704">
      <c r="A704" s="84"/>
      <c r="F704" s="81"/>
    </row>
    <row r="705">
      <c r="A705" s="84"/>
      <c r="F705" s="81"/>
    </row>
    <row r="706">
      <c r="A706" s="84"/>
      <c r="F706" s="81"/>
    </row>
    <row r="707">
      <c r="A707" s="84"/>
      <c r="F707" s="81"/>
    </row>
    <row r="708">
      <c r="A708" s="84"/>
      <c r="F708" s="81"/>
    </row>
    <row r="709">
      <c r="A709" s="84"/>
      <c r="F709" s="81"/>
    </row>
    <row r="710">
      <c r="A710" s="84"/>
      <c r="F710" s="81"/>
    </row>
    <row r="711">
      <c r="A711" s="84"/>
      <c r="F711" s="81"/>
    </row>
    <row r="712">
      <c r="A712" s="84"/>
      <c r="F712" s="81"/>
    </row>
    <row r="713">
      <c r="A713" s="84"/>
      <c r="F713" s="81"/>
    </row>
    <row r="714">
      <c r="A714" s="84"/>
      <c r="F714" s="81"/>
    </row>
    <row r="715">
      <c r="A715" s="84"/>
      <c r="F715" s="81"/>
    </row>
    <row r="716">
      <c r="A716" s="84"/>
      <c r="F716" s="81"/>
    </row>
    <row r="717">
      <c r="A717" s="84"/>
      <c r="F717" s="81"/>
    </row>
    <row r="718">
      <c r="A718" s="84"/>
      <c r="F718" s="81"/>
    </row>
    <row r="719">
      <c r="A719" s="84"/>
      <c r="F719" s="81"/>
    </row>
    <row r="720">
      <c r="A720" s="84"/>
      <c r="F720" s="81"/>
    </row>
    <row r="721">
      <c r="A721" s="84"/>
      <c r="F721" s="81"/>
    </row>
    <row r="722">
      <c r="A722" s="84"/>
      <c r="F722" s="81"/>
    </row>
    <row r="723">
      <c r="A723" s="84"/>
      <c r="F723" s="81"/>
    </row>
    <row r="724">
      <c r="A724" s="84"/>
      <c r="F724" s="81"/>
    </row>
    <row r="725">
      <c r="A725" s="84"/>
      <c r="F725" s="81"/>
    </row>
    <row r="726">
      <c r="A726" s="84"/>
      <c r="F726" s="81"/>
    </row>
    <row r="727">
      <c r="A727" s="84"/>
      <c r="F727" s="81"/>
    </row>
    <row r="728">
      <c r="A728" s="84"/>
      <c r="F728" s="81"/>
    </row>
    <row r="729">
      <c r="A729" s="84"/>
      <c r="F729" s="81"/>
    </row>
    <row r="730">
      <c r="A730" s="84"/>
      <c r="F730" s="81"/>
    </row>
    <row r="731">
      <c r="A731" s="84"/>
      <c r="F731" s="81"/>
    </row>
    <row r="732">
      <c r="A732" s="84"/>
      <c r="F732" s="81"/>
    </row>
    <row r="733">
      <c r="A733" s="84"/>
      <c r="F733" s="81"/>
    </row>
    <row r="734">
      <c r="A734" s="84"/>
      <c r="F734" s="81"/>
    </row>
    <row r="735">
      <c r="A735" s="84"/>
      <c r="F735" s="81"/>
    </row>
    <row r="736">
      <c r="A736" s="84"/>
      <c r="F736" s="81"/>
    </row>
    <row r="737">
      <c r="A737" s="84"/>
      <c r="F737" s="81"/>
    </row>
    <row r="738">
      <c r="A738" s="84"/>
      <c r="F738" s="81"/>
    </row>
    <row r="739">
      <c r="A739" s="84"/>
      <c r="F739" s="81"/>
    </row>
    <row r="740">
      <c r="A740" s="84"/>
      <c r="F740" s="81"/>
    </row>
    <row r="741">
      <c r="A741" s="84"/>
      <c r="F741" s="81"/>
    </row>
    <row r="742">
      <c r="A742" s="84"/>
      <c r="F742" s="81"/>
    </row>
    <row r="743">
      <c r="A743" s="84"/>
      <c r="F743" s="81"/>
    </row>
    <row r="744">
      <c r="A744" s="84"/>
      <c r="F744" s="81"/>
    </row>
    <row r="745">
      <c r="A745" s="84"/>
      <c r="F745" s="81"/>
    </row>
    <row r="746">
      <c r="A746" s="84"/>
      <c r="F746" s="81"/>
    </row>
    <row r="747">
      <c r="A747" s="84"/>
      <c r="F747" s="81"/>
    </row>
    <row r="748">
      <c r="A748" s="84"/>
      <c r="F748" s="81"/>
    </row>
    <row r="749">
      <c r="A749" s="84"/>
      <c r="F749" s="81"/>
    </row>
    <row r="750">
      <c r="A750" s="84"/>
      <c r="F750" s="81"/>
    </row>
    <row r="751">
      <c r="A751" s="84"/>
      <c r="F751" s="81"/>
    </row>
    <row r="752">
      <c r="A752" s="84"/>
      <c r="F752" s="81"/>
    </row>
    <row r="753">
      <c r="A753" s="84"/>
      <c r="F753" s="81"/>
    </row>
    <row r="754">
      <c r="A754" s="84"/>
      <c r="F754" s="81"/>
    </row>
    <row r="755">
      <c r="A755" s="84"/>
      <c r="F755" s="81"/>
    </row>
    <row r="756">
      <c r="A756" s="84"/>
      <c r="F756" s="81"/>
    </row>
    <row r="757">
      <c r="A757" s="84"/>
      <c r="F757" s="81"/>
    </row>
    <row r="758">
      <c r="A758" s="84"/>
      <c r="F758" s="81"/>
    </row>
    <row r="759">
      <c r="A759" s="84"/>
      <c r="F759" s="81"/>
    </row>
    <row r="760">
      <c r="A760" s="84"/>
      <c r="F760" s="81"/>
    </row>
    <row r="761">
      <c r="A761" s="84"/>
      <c r="F761" s="81"/>
    </row>
    <row r="762">
      <c r="A762" s="84"/>
      <c r="F762" s="81"/>
    </row>
    <row r="763">
      <c r="A763" s="84"/>
      <c r="F763" s="81"/>
    </row>
    <row r="764">
      <c r="A764" s="84"/>
      <c r="F764" s="81"/>
    </row>
    <row r="765">
      <c r="A765" s="84"/>
      <c r="F765" s="81"/>
    </row>
    <row r="766">
      <c r="A766" s="84"/>
      <c r="F766" s="81"/>
    </row>
    <row r="767">
      <c r="A767" s="84"/>
      <c r="F767" s="81"/>
    </row>
    <row r="768">
      <c r="A768" s="84"/>
      <c r="F768" s="81"/>
    </row>
    <row r="769">
      <c r="A769" s="84"/>
      <c r="F769" s="81"/>
    </row>
    <row r="770">
      <c r="A770" s="84"/>
      <c r="F770" s="81"/>
    </row>
    <row r="771">
      <c r="A771" s="84"/>
      <c r="F771" s="81"/>
    </row>
    <row r="772">
      <c r="A772" s="84"/>
      <c r="F772" s="81"/>
    </row>
    <row r="773">
      <c r="A773" s="84"/>
      <c r="F773" s="81"/>
    </row>
    <row r="774">
      <c r="A774" s="84"/>
      <c r="F774" s="81"/>
    </row>
    <row r="775">
      <c r="A775" s="84"/>
      <c r="F775" s="81"/>
    </row>
    <row r="776">
      <c r="A776" s="84"/>
      <c r="F776" s="81"/>
    </row>
    <row r="777">
      <c r="A777" s="84"/>
      <c r="F777" s="81"/>
    </row>
    <row r="778">
      <c r="A778" s="84"/>
      <c r="F778" s="81"/>
    </row>
    <row r="779">
      <c r="A779" s="84"/>
      <c r="F779" s="81"/>
    </row>
    <row r="780">
      <c r="A780" s="84"/>
      <c r="F780" s="81"/>
    </row>
    <row r="781">
      <c r="A781" s="84"/>
      <c r="F781" s="81"/>
    </row>
    <row r="782">
      <c r="A782" s="84"/>
      <c r="F782" s="81"/>
    </row>
    <row r="783">
      <c r="A783" s="84"/>
      <c r="F783" s="81"/>
    </row>
    <row r="784">
      <c r="A784" s="84"/>
      <c r="F784" s="81"/>
    </row>
    <row r="785">
      <c r="A785" s="84"/>
      <c r="F785" s="81"/>
    </row>
    <row r="786">
      <c r="A786" s="84"/>
      <c r="F786" s="81"/>
    </row>
    <row r="787">
      <c r="A787" s="84"/>
      <c r="F787" s="81"/>
    </row>
    <row r="788">
      <c r="A788" s="84"/>
      <c r="F788" s="81"/>
    </row>
    <row r="789">
      <c r="A789" s="84"/>
      <c r="F789" s="81"/>
    </row>
    <row r="790">
      <c r="A790" s="84"/>
      <c r="F790" s="81"/>
    </row>
    <row r="791">
      <c r="A791" s="84"/>
      <c r="F791" s="81"/>
    </row>
    <row r="792">
      <c r="A792" s="84"/>
      <c r="F792" s="81"/>
    </row>
    <row r="793">
      <c r="A793" s="84"/>
      <c r="F793" s="81"/>
    </row>
    <row r="794">
      <c r="A794" s="84"/>
      <c r="F794" s="81"/>
    </row>
    <row r="795">
      <c r="A795" s="84"/>
      <c r="F795" s="81"/>
    </row>
    <row r="796">
      <c r="A796" s="84"/>
      <c r="F796" s="81"/>
    </row>
    <row r="797">
      <c r="A797" s="84"/>
      <c r="F797" s="81"/>
    </row>
    <row r="798">
      <c r="A798" s="84"/>
      <c r="F798" s="81"/>
    </row>
    <row r="799">
      <c r="A799" s="84"/>
      <c r="F799" s="81"/>
    </row>
    <row r="800">
      <c r="A800" s="84"/>
      <c r="F800" s="81"/>
    </row>
    <row r="801">
      <c r="A801" s="84"/>
      <c r="F801" s="81"/>
    </row>
    <row r="802">
      <c r="A802" s="84"/>
      <c r="F802" s="81"/>
    </row>
    <row r="803">
      <c r="A803" s="84"/>
      <c r="F803" s="81"/>
    </row>
    <row r="804">
      <c r="A804" s="84"/>
      <c r="F804" s="81"/>
    </row>
    <row r="805">
      <c r="A805" s="84"/>
      <c r="F805" s="81"/>
    </row>
    <row r="806">
      <c r="A806" s="84"/>
      <c r="F806" s="81"/>
    </row>
    <row r="807">
      <c r="A807" s="84"/>
      <c r="F807" s="81"/>
    </row>
    <row r="808">
      <c r="A808" s="84"/>
      <c r="F808" s="81"/>
    </row>
    <row r="809">
      <c r="A809" s="84"/>
      <c r="F809" s="81"/>
    </row>
    <row r="810">
      <c r="A810" s="84"/>
      <c r="F810" s="81"/>
    </row>
    <row r="811">
      <c r="A811" s="84"/>
      <c r="F811" s="81"/>
    </row>
    <row r="812">
      <c r="A812" s="84"/>
      <c r="F812" s="81"/>
    </row>
    <row r="813">
      <c r="A813" s="84"/>
      <c r="F813" s="81"/>
    </row>
    <row r="814">
      <c r="A814" s="84"/>
      <c r="F814" s="81"/>
    </row>
    <row r="815">
      <c r="A815" s="84"/>
      <c r="F815" s="81"/>
    </row>
    <row r="816">
      <c r="A816" s="84"/>
      <c r="F816" s="81"/>
    </row>
    <row r="817">
      <c r="A817" s="84"/>
      <c r="F817" s="81"/>
    </row>
    <row r="818">
      <c r="A818" s="84"/>
      <c r="F818" s="81"/>
    </row>
    <row r="819">
      <c r="A819" s="84"/>
      <c r="F819" s="81"/>
    </row>
    <row r="820">
      <c r="A820" s="84"/>
      <c r="F820" s="81"/>
    </row>
    <row r="821">
      <c r="A821" s="84"/>
      <c r="F821" s="81"/>
    </row>
    <row r="822">
      <c r="A822" s="84"/>
      <c r="F822" s="81"/>
    </row>
    <row r="823">
      <c r="A823" s="84"/>
      <c r="F823" s="81"/>
    </row>
    <row r="824">
      <c r="A824" s="84"/>
      <c r="F824" s="81"/>
    </row>
    <row r="825">
      <c r="A825" s="84"/>
      <c r="F825" s="81"/>
    </row>
    <row r="826">
      <c r="A826" s="84"/>
      <c r="F826" s="81"/>
    </row>
    <row r="827">
      <c r="A827" s="84"/>
      <c r="F827" s="81"/>
    </row>
    <row r="828">
      <c r="A828" s="84"/>
      <c r="F828" s="81"/>
    </row>
    <row r="829">
      <c r="A829" s="84"/>
      <c r="F829" s="81"/>
    </row>
    <row r="830">
      <c r="A830" s="84"/>
      <c r="F830" s="81"/>
    </row>
    <row r="831">
      <c r="A831" s="84"/>
      <c r="F831" s="81"/>
    </row>
    <row r="832">
      <c r="A832" s="84"/>
      <c r="F832" s="81"/>
    </row>
    <row r="833">
      <c r="A833" s="84"/>
      <c r="F833" s="81"/>
    </row>
    <row r="834">
      <c r="A834" s="84"/>
      <c r="F834" s="81"/>
    </row>
    <row r="835">
      <c r="A835" s="84"/>
      <c r="F835" s="81"/>
    </row>
    <row r="836">
      <c r="A836" s="84"/>
      <c r="F836" s="81"/>
    </row>
    <row r="837">
      <c r="A837" s="84"/>
      <c r="F837" s="81"/>
    </row>
    <row r="838">
      <c r="A838" s="84"/>
      <c r="F838" s="81"/>
    </row>
    <row r="839">
      <c r="A839" s="84"/>
      <c r="F839" s="81"/>
    </row>
    <row r="840">
      <c r="A840" s="84"/>
      <c r="F840" s="81"/>
    </row>
    <row r="841">
      <c r="A841" s="84"/>
      <c r="F841" s="81"/>
    </row>
    <row r="842">
      <c r="A842" s="84"/>
      <c r="F842" s="81"/>
    </row>
    <row r="843">
      <c r="A843" s="84"/>
      <c r="F843" s="81"/>
    </row>
    <row r="844">
      <c r="A844" s="84"/>
      <c r="F844" s="81"/>
    </row>
    <row r="845">
      <c r="A845" s="84"/>
      <c r="F845" s="81"/>
    </row>
    <row r="846">
      <c r="A846" s="84"/>
      <c r="F846" s="81"/>
    </row>
    <row r="847">
      <c r="A847" s="84"/>
      <c r="F847" s="81"/>
    </row>
    <row r="848">
      <c r="A848" s="84"/>
      <c r="F848" s="81"/>
    </row>
    <row r="849">
      <c r="A849" s="84"/>
      <c r="F849" s="81"/>
    </row>
    <row r="850">
      <c r="A850" s="84"/>
      <c r="F850" s="81"/>
    </row>
    <row r="851">
      <c r="A851" s="84"/>
      <c r="F851" s="81"/>
    </row>
    <row r="852">
      <c r="A852" s="84"/>
      <c r="F852" s="81"/>
    </row>
    <row r="853">
      <c r="A853" s="84"/>
      <c r="F853" s="81"/>
    </row>
    <row r="854">
      <c r="A854" s="84"/>
      <c r="F854" s="81"/>
    </row>
    <row r="855">
      <c r="A855" s="84"/>
      <c r="F855" s="81"/>
    </row>
    <row r="856">
      <c r="A856" s="84"/>
      <c r="F856" s="81"/>
    </row>
    <row r="857">
      <c r="A857" s="84"/>
      <c r="F857" s="81"/>
    </row>
    <row r="858">
      <c r="A858" s="84"/>
      <c r="F858" s="81"/>
    </row>
    <row r="859">
      <c r="A859" s="84"/>
      <c r="F859" s="81"/>
    </row>
    <row r="860">
      <c r="A860" s="84"/>
      <c r="F860" s="81"/>
    </row>
    <row r="861">
      <c r="A861" s="84"/>
      <c r="F861" s="81"/>
    </row>
    <row r="862">
      <c r="A862" s="84"/>
      <c r="F862" s="81"/>
    </row>
    <row r="863">
      <c r="A863" s="84"/>
      <c r="F863" s="81"/>
    </row>
    <row r="864">
      <c r="A864" s="84"/>
      <c r="F864" s="81"/>
    </row>
    <row r="865">
      <c r="A865" s="84"/>
      <c r="F865" s="81"/>
    </row>
    <row r="866">
      <c r="A866" s="84"/>
      <c r="F866" s="81"/>
    </row>
    <row r="867">
      <c r="A867" s="84"/>
      <c r="F867" s="81"/>
    </row>
    <row r="868">
      <c r="A868" s="84"/>
      <c r="F868" s="81"/>
    </row>
    <row r="869">
      <c r="A869" s="84"/>
      <c r="F869" s="81"/>
    </row>
    <row r="870">
      <c r="A870" s="84"/>
      <c r="F870" s="81"/>
    </row>
    <row r="871">
      <c r="A871" s="84"/>
      <c r="F871" s="81"/>
    </row>
    <row r="872">
      <c r="A872" s="84"/>
      <c r="F872" s="81"/>
    </row>
    <row r="873">
      <c r="A873" s="84"/>
      <c r="F873" s="81"/>
    </row>
    <row r="874">
      <c r="A874" s="84"/>
      <c r="F874" s="81"/>
    </row>
    <row r="875">
      <c r="A875" s="84"/>
      <c r="F875" s="81"/>
    </row>
    <row r="876">
      <c r="A876" s="84"/>
      <c r="F876" s="81"/>
    </row>
    <row r="877">
      <c r="A877" s="84"/>
      <c r="F877" s="81"/>
    </row>
    <row r="878">
      <c r="A878" s="84"/>
      <c r="F878" s="81"/>
    </row>
    <row r="879">
      <c r="A879" s="84"/>
      <c r="F879" s="81"/>
    </row>
    <row r="880">
      <c r="A880" s="84"/>
      <c r="F880" s="81"/>
    </row>
    <row r="881">
      <c r="A881" s="84"/>
      <c r="F881" s="81"/>
    </row>
    <row r="882">
      <c r="A882" s="84"/>
      <c r="F882" s="81"/>
    </row>
    <row r="883">
      <c r="A883" s="84"/>
      <c r="F883" s="81"/>
    </row>
    <row r="884">
      <c r="A884" s="84"/>
      <c r="F884" s="81"/>
    </row>
    <row r="885">
      <c r="A885" s="84"/>
      <c r="F885" s="81"/>
    </row>
    <row r="886">
      <c r="A886" s="84"/>
      <c r="F886" s="81"/>
    </row>
    <row r="887">
      <c r="A887" s="84"/>
      <c r="F887" s="81"/>
    </row>
    <row r="888">
      <c r="A888" s="84"/>
      <c r="F888" s="81"/>
    </row>
    <row r="889">
      <c r="A889" s="84"/>
      <c r="F889" s="81"/>
    </row>
    <row r="890">
      <c r="A890" s="84"/>
      <c r="F890" s="81"/>
    </row>
    <row r="891">
      <c r="A891" s="84"/>
      <c r="F891" s="81"/>
    </row>
    <row r="892">
      <c r="A892" s="84"/>
      <c r="F892" s="81"/>
    </row>
    <row r="893">
      <c r="A893" s="84"/>
      <c r="F893" s="81"/>
    </row>
    <row r="894">
      <c r="A894" s="84"/>
      <c r="F894" s="81"/>
    </row>
    <row r="895">
      <c r="A895" s="84"/>
      <c r="F895" s="81"/>
    </row>
    <row r="896">
      <c r="A896" s="84"/>
      <c r="F896" s="81"/>
    </row>
    <row r="897">
      <c r="A897" s="84"/>
      <c r="F897" s="81"/>
    </row>
    <row r="898">
      <c r="A898" s="84"/>
      <c r="F898" s="81"/>
    </row>
    <row r="899">
      <c r="A899" s="84"/>
      <c r="F899" s="81"/>
    </row>
    <row r="900">
      <c r="A900" s="84"/>
      <c r="F900" s="81"/>
    </row>
    <row r="901">
      <c r="A901" s="84"/>
      <c r="F901" s="81"/>
    </row>
    <row r="902">
      <c r="A902" s="84"/>
      <c r="F902" s="81"/>
    </row>
    <row r="903">
      <c r="A903" s="84"/>
      <c r="F903" s="81"/>
    </row>
    <row r="904">
      <c r="A904" s="84"/>
      <c r="F904" s="81"/>
    </row>
    <row r="905">
      <c r="A905" s="84"/>
      <c r="F905" s="81"/>
    </row>
    <row r="906">
      <c r="A906" s="84"/>
      <c r="F906" s="81"/>
    </row>
    <row r="907">
      <c r="A907" s="84"/>
      <c r="F907" s="81"/>
    </row>
    <row r="908">
      <c r="A908" s="84"/>
      <c r="F908" s="81"/>
    </row>
    <row r="909">
      <c r="A909" s="84"/>
      <c r="F909" s="81"/>
    </row>
    <row r="910">
      <c r="A910" s="84"/>
      <c r="F910" s="81"/>
    </row>
    <row r="911">
      <c r="A911" s="84"/>
      <c r="F911" s="81"/>
    </row>
    <row r="912">
      <c r="A912" s="84"/>
      <c r="F912" s="81"/>
    </row>
    <row r="913">
      <c r="A913" s="84"/>
      <c r="F913" s="81"/>
    </row>
    <row r="914">
      <c r="A914" s="84"/>
      <c r="F914" s="81"/>
    </row>
    <row r="915">
      <c r="A915" s="84"/>
      <c r="F915" s="81"/>
    </row>
    <row r="916">
      <c r="A916" s="84"/>
      <c r="F916" s="81"/>
    </row>
    <row r="917">
      <c r="A917" s="84"/>
      <c r="F917" s="81"/>
    </row>
    <row r="918">
      <c r="A918" s="84"/>
      <c r="F918" s="81"/>
    </row>
    <row r="919">
      <c r="A919" s="84"/>
      <c r="F919" s="81"/>
    </row>
    <row r="920">
      <c r="A920" s="84"/>
      <c r="F920" s="81"/>
    </row>
    <row r="921">
      <c r="A921" s="84"/>
      <c r="F921" s="81"/>
    </row>
    <row r="922">
      <c r="A922" s="84"/>
      <c r="F922" s="81"/>
    </row>
    <row r="923">
      <c r="A923" s="84"/>
      <c r="F923" s="81"/>
    </row>
    <row r="924">
      <c r="A924" s="84"/>
      <c r="F924" s="81"/>
    </row>
    <row r="925">
      <c r="A925" s="84"/>
      <c r="F925" s="81"/>
    </row>
    <row r="926">
      <c r="A926" s="84"/>
      <c r="F926" s="81"/>
    </row>
    <row r="927">
      <c r="A927" s="84"/>
      <c r="F927" s="81"/>
    </row>
    <row r="928">
      <c r="A928" s="84"/>
      <c r="F928" s="81"/>
    </row>
    <row r="929">
      <c r="A929" s="84"/>
      <c r="F929" s="81"/>
    </row>
    <row r="930">
      <c r="A930" s="84"/>
      <c r="F930" s="81"/>
    </row>
    <row r="931">
      <c r="A931" s="84"/>
      <c r="F931" s="81"/>
    </row>
    <row r="932">
      <c r="A932" s="84"/>
      <c r="F932" s="81"/>
    </row>
    <row r="933">
      <c r="A933" s="84"/>
      <c r="F933" s="81"/>
    </row>
    <row r="934">
      <c r="A934" s="84"/>
      <c r="F934" s="81"/>
    </row>
    <row r="935">
      <c r="A935" s="84"/>
      <c r="F935" s="81"/>
    </row>
    <row r="936">
      <c r="A936" s="84"/>
      <c r="F936" s="81"/>
    </row>
    <row r="937">
      <c r="A937" s="84"/>
      <c r="F937" s="81"/>
    </row>
    <row r="938">
      <c r="A938" s="84"/>
      <c r="F938" s="81"/>
    </row>
    <row r="939">
      <c r="A939" s="84"/>
      <c r="F939" s="81"/>
    </row>
    <row r="940">
      <c r="A940" s="84"/>
      <c r="F940" s="81"/>
    </row>
    <row r="941">
      <c r="A941" s="84"/>
      <c r="F941" s="81"/>
    </row>
    <row r="942">
      <c r="A942" s="84"/>
      <c r="F942" s="81"/>
    </row>
    <row r="943">
      <c r="A943" s="84"/>
      <c r="F943" s="81"/>
    </row>
    <row r="944">
      <c r="A944" s="84"/>
      <c r="F944" s="81"/>
    </row>
    <row r="945">
      <c r="A945" s="84"/>
      <c r="F945" s="81"/>
    </row>
    <row r="946">
      <c r="A946" s="84"/>
      <c r="F946" s="81"/>
    </row>
    <row r="947">
      <c r="A947" s="84"/>
      <c r="F947" s="81"/>
    </row>
    <row r="948">
      <c r="A948" s="84"/>
      <c r="F948" s="81"/>
    </row>
    <row r="949">
      <c r="A949" s="84"/>
      <c r="F949" s="81"/>
    </row>
    <row r="950">
      <c r="A950" s="84"/>
      <c r="F950" s="81"/>
    </row>
    <row r="951">
      <c r="A951" s="84"/>
      <c r="F951" s="81"/>
    </row>
    <row r="952">
      <c r="A952" s="84"/>
      <c r="F952" s="81"/>
    </row>
    <row r="953">
      <c r="A953" s="84"/>
      <c r="F953" s="81"/>
    </row>
    <row r="954">
      <c r="A954" s="84"/>
      <c r="F954" s="81"/>
    </row>
    <row r="955">
      <c r="A955" s="84"/>
      <c r="F955" s="81"/>
    </row>
    <row r="956">
      <c r="A956" s="84"/>
      <c r="F956" s="81"/>
    </row>
    <row r="957">
      <c r="A957" s="84"/>
      <c r="F957" s="81"/>
    </row>
    <row r="958">
      <c r="A958" s="84"/>
      <c r="F958" s="81"/>
    </row>
    <row r="959">
      <c r="A959" s="84"/>
      <c r="F959" s="81"/>
    </row>
    <row r="960">
      <c r="A960" s="84"/>
      <c r="F960" s="81"/>
    </row>
    <row r="961">
      <c r="A961" s="84"/>
      <c r="F961" s="81"/>
    </row>
    <row r="962">
      <c r="A962" s="84"/>
      <c r="F962" s="81"/>
    </row>
    <row r="963">
      <c r="A963" s="84"/>
      <c r="F963" s="81"/>
    </row>
    <row r="964">
      <c r="A964" s="84"/>
      <c r="F964" s="81"/>
    </row>
    <row r="965">
      <c r="A965" s="84"/>
      <c r="F965" s="81"/>
    </row>
    <row r="966">
      <c r="A966" s="84"/>
      <c r="F966" s="81"/>
    </row>
    <row r="967">
      <c r="A967" s="84"/>
      <c r="F967" s="81"/>
    </row>
    <row r="968">
      <c r="A968" s="84"/>
      <c r="F968" s="81"/>
    </row>
    <row r="969">
      <c r="A969" s="84"/>
      <c r="F969" s="81"/>
    </row>
    <row r="970">
      <c r="A970" s="84"/>
      <c r="F970" s="81"/>
    </row>
    <row r="971">
      <c r="A971" s="84"/>
      <c r="F971" s="81"/>
    </row>
    <row r="972">
      <c r="A972" s="84"/>
      <c r="F972" s="81"/>
    </row>
    <row r="973">
      <c r="A973" s="84"/>
      <c r="F973" s="81"/>
    </row>
    <row r="974">
      <c r="A974" s="84"/>
      <c r="F974" s="81"/>
    </row>
    <row r="975">
      <c r="A975" s="84"/>
      <c r="F975" s="81"/>
    </row>
    <row r="976">
      <c r="A976" s="84"/>
      <c r="F976" s="81"/>
    </row>
    <row r="977">
      <c r="A977" s="84"/>
      <c r="F977" s="81"/>
    </row>
    <row r="978">
      <c r="A978" s="84"/>
      <c r="F978" s="81"/>
    </row>
    <row r="979">
      <c r="A979" s="84"/>
      <c r="F979" s="81"/>
    </row>
    <row r="980">
      <c r="A980" s="84"/>
      <c r="F980" s="81"/>
    </row>
    <row r="981">
      <c r="A981" s="84"/>
      <c r="F981" s="81"/>
    </row>
    <row r="982">
      <c r="A982" s="84"/>
      <c r="F982" s="81"/>
    </row>
    <row r="983">
      <c r="A983" s="84"/>
      <c r="F983" s="81"/>
    </row>
    <row r="984">
      <c r="A984" s="84"/>
      <c r="F984" s="81"/>
    </row>
    <row r="985">
      <c r="A985" s="84"/>
      <c r="F985" s="81"/>
    </row>
    <row r="986">
      <c r="A986" s="84"/>
      <c r="F986" s="81"/>
    </row>
    <row r="987">
      <c r="A987" s="84"/>
      <c r="F987" s="81"/>
    </row>
    <row r="988">
      <c r="A988" s="84"/>
      <c r="F988" s="81"/>
    </row>
    <row r="989">
      <c r="A989" s="84"/>
      <c r="F989" s="81"/>
    </row>
    <row r="990">
      <c r="A990" s="84"/>
      <c r="F990" s="81"/>
    </row>
    <row r="991">
      <c r="A991" s="84"/>
      <c r="F991" s="81"/>
    </row>
    <row r="992">
      <c r="A992" s="84"/>
      <c r="F992" s="81"/>
    </row>
    <row r="993">
      <c r="A993" s="84"/>
      <c r="F993" s="81"/>
    </row>
    <row r="994">
      <c r="A994" s="84"/>
      <c r="F994" s="81"/>
    </row>
    <row r="995">
      <c r="A995" s="84"/>
      <c r="F995" s="81"/>
    </row>
    <row r="996">
      <c r="A996" s="84"/>
      <c r="F996" s="81"/>
    </row>
    <row r="997">
      <c r="A997" s="84"/>
      <c r="F997" s="81"/>
    </row>
    <row r="998">
      <c r="A998" s="84"/>
      <c r="F998" s="81"/>
    </row>
    <row r="999">
      <c r="A999" s="84"/>
      <c r="F999" s="81"/>
    </row>
    <row r="1000">
      <c r="A1000" s="84"/>
      <c r="F1000" s="81"/>
    </row>
  </sheetData>
  <mergeCells count="3">
    <mergeCell ref="B1:F1"/>
    <mergeCell ref="G1:K1"/>
    <mergeCell ref="A2:A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50.0"/>
  </cols>
  <sheetData>
    <row r="1">
      <c r="A1" s="84"/>
      <c r="B1" s="132" t="s">
        <v>73</v>
      </c>
      <c r="G1" s="133" t="s">
        <v>101</v>
      </c>
    </row>
    <row r="2">
      <c r="A2" s="134" t="s">
        <v>75</v>
      </c>
      <c r="B2" s="115">
        <v>2021.0</v>
      </c>
      <c r="C2" s="115">
        <v>2020.0</v>
      </c>
      <c r="D2" s="115">
        <v>2019.0</v>
      </c>
      <c r="E2" s="115">
        <v>2018.0</v>
      </c>
      <c r="F2" s="135">
        <v>2017.0</v>
      </c>
      <c r="G2" s="115">
        <v>2021.0</v>
      </c>
      <c r="H2" s="115">
        <v>2020.0</v>
      </c>
      <c r="I2" s="115">
        <v>2019.0</v>
      </c>
      <c r="J2" s="115">
        <v>2018.0</v>
      </c>
      <c r="K2" s="115">
        <v>2017.0</v>
      </c>
    </row>
    <row r="3">
      <c r="B3" s="116" t="s">
        <v>76</v>
      </c>
      <c r="C3" s="116" t="s">
        <v>76</v>
      </c>
      <c r="D3" s="116" t="s">
        <v>76</v>
      </c>
      <c r="E3" s="116" t="s">
        <v>76</v>
      </c>
      <c r="F3" s="136" t="s">
        <v>76</v>
      </c>
      <c r="G3" s="116" t="s">
        <v>76</v>
      </c>
      <c r="H3" s="116" t="s">
        <v>76</v>
      </c>
      <c r="I3" s="116" t="s">
        <v>76</v>
      </c>
      <c r="J3" s="116" t="s">
        <v>76</v>
      </c>
      <c r="K3" s="116" t="s">
        <v>76</v>
      </c>
    </row>
    <row r="4">
      <c r="A4" s="134" t="s">
        <v>180</v>
      </c>
      <c r="B4" s="88">
        <f>'Balance Sheet'!B9</f>
        <v>3024800</v>
      </c>
      <c r="C4" s="88">
        <f>'Balance Sheet'!C9</f>
        <v>2953900</v>
      </c>
      <c r="D4" s="88">
        <f>'Balance Sheet'!D9</f>
        <v>2975700</v>
      </c>
      <c r="E4" s="88">
        <f>'Balance Sheet'!E9</f>
        <v>2933000</v>
      </c>
      <c r="F4" s="108">
        <f>'Balance Sheet'!F9</f>
        <v>2781100</v>
      </c>
      <c r="G4" s="88">
        <f>'Balance Sheet'!G9</f>
        <v>2246206</v>
      </c>
      <c r="H4" s="88">
        <f>'Balance Sheet'!H9</f>
        <v>2977905</v>
      </c>
      <c r="I4" s="88">
        <f>'Balance Sheet'!I9</f>
        <v>2117102</v>
      </c>
      <c r="J4" s="88">
        <f>'Balance Sheet'!J9</f>
        <v>2239181</v>
      </c>
      <c r="K4" s="88">
        <f>'Balance Sheet'!K9</f>
        <v>2001910</v>
      </c>
    </row>
    <row r="5">
      <c r="A5" s="134" t="s">
        <v>181</v>
      </c>
      <c r="B5" s="88">
        <f>'Balance Sheet'!B19</f>
        <v>1485700</v>
      </c>
      <c r="C5" s="88">
        <f>'Balance Sheet'!C19</f>
        <v>1280300</v>
      </c>
      <c r="D5" s="88">
        <f>'Balance Sheet'!D19</f>
        <v>1689700</v>
      </c>
      <c r="E5" s="88">
        <f>'Balance Sheet'!E19</f>
        <v>1028100</v>
      </c>
      <c r="F5" s="108">
        <f>'Balance Sheet'!F19</f>
        <v>1049800</v>
      </c>
      <c r="G5" s="88">
        <f>'Balance Sheet'!G19</f>
        <v>2493313</v>
      </c>
      <c r="H5" s="88">
        <f>'Balance Sheet'!H19</f>
        <v>1891745</v>
      </c>
      <c r="I5" s="88">
        <f>'Balance Sheet'!I19</f>
        <v>2008793</v>
      </c>
      <c r="J5" s="88">
        <f>'Balance Sheet'!J19</f>
        <v>2418566</v>
      </c>
      <c r="K5" s="88">
        <f>'Balance Sheet'!K19</f>
        <v>2076543</v>
      </c>
    </row>
    <row r="6">
      <c r="A6" s="137" t="s">
        <v>182</v>
      </c>
      <c r="B6" s="138">
        <f t="shared" ref="B6:K6" si="1">B4/B5</f>
        <v>2.035942653</v>
      </c>
      <c r="C6" s="138">
        <f t="shared" si="1"/>
        <v>2.307193626</v>
      </c>
      <c r="D6" s="138">
        <f t="shared" si="1"/>
        <v>1.761081849</v>
      </c>
      <c r="E6" s="138">
        <f t="shared" si="1"/>
        <v>2.852835327</v>
      </c>
      <c r="F6" s="139">
        <f t="shared" si="1"/>
        <v>2.649171271</v>
      </c>
      <c r="G6" s="138">
        <f t="shared" si="1"/>
        <v>0.9008921062</v>
      </c>
      <c r="H6" s="138">
        <f t="shared" si="1"/>
        <v>1.574157722</v>
      </c>
      <c r="I6" s="138">
        <f t="shared" si="1"/>
        <v>1.053917452</v>
      </c>
      <c r="J6" s="138">
        <f t="shared" si="1"/>
        <v>0.9258300166</v>
      </c>
      <c r="K6" s="138">
        <f t="shared" si="1"/>
        <v>0.9640590154</v>
      </c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</row>
    <row r="7">
      <c r="A7" s="134" t="s">
        <v>180</v>
      </c>
      <c r="B7" s="88">
        <f t="shared" ref="B7:K7" si="2">B4</f>
        <v>3024800</v>
      </c>
      <c r="C7" s="88">
        <f t="shared" si="2"/>
        <v>2953900</v>
      </c>
      <c r="D7" s="88">
        <f t="shared" si="2"/>
        <v>2975700</v>
      </c>
      <c r="E7" s="88">
        <f t="shared" si="2"/>
        <v>2933000</v>
      </c>
      <c r="F7" s="108">
        <f t="shared" si="2"/>
        <v>2781100</v>
      </c>
      <c r="G7" s="88">
        <f t="shared" si="2"/>
        <v>2246206</v>
      </c>
      <c r="H7" s="88">
        <f t="shared" si="2"/>
        <v>2977905</v>
      </c>
      <c r="I7" s="88">
        <f t="shared" si="2"/>
        <v>2117102</v>
      </c>
      <c r="J7" s="88">
        <f t="shared" si="2"/>
        <v>2239181</v>
      </c>
      <c r="K7" s="88">
        <f t="shared" si="2"/>
        <v>2001910</v>
      </c>
    </row>
    <row r="8">
      <c r="A8" s="134" t="s">
        <v>183</v>
      </c>
      <c r="B8" s="88">
        <f>'Balance Sheet'!B7</f>
        <v>761600</v>
      </c>
      <c r="C8" s="88">
        <f>'Balance Sheet'!C7</f>
        <v>701500</v>
      </c>
      <c r="D8" s="88">
        <f>'Balance Sheet'!D7</f>
        <v>750100</v>
      </c>
      <c r="E8" s="88">
        <f>'Balance Sheet'!E7</f>
        <v>752200</v>
      </c>
      <c r="F8" s="108">
        <f>'Balance Sheet'!F7</f>
        <v>731400</v>
      </c>
      <c r="G8" s="88">
        <f>'Balance Sheet'!G7</f>
        <v>988511</v>
      </c>
      <c r="H8" s="88">
        <f>'Balance Sheet'!H7</f>
        <v>964207</v>
      </c>
      <c r="I8" s="88">
        <f>'Balance Sheet'!I7</f>
        <v>815251</v>
      </c>
      <c r="J8" s="88">
        <f>'Balance Sheet'!J7</f>
        <v>784879</v>
      </c>
      <c r="K8" s="88">
        <f>'Balance Sheet'!K7</f>
        <v>752836</v>
      </c>
    </row>
    <row r="9">
      <c r="A9" s="84"/>
      <c r="B9" s="88">
        <f t="shared" ref="B9:K9" si="3">B7-B8</f>
        <v>2263200</v>
      </c>
      <c r="C9" s="88">
        <f t="shared" si="3"/>
        <v>2252400</v>
      </c>
      <c r="D9" s="88">
        <f t="shared" si="3"/>
        <v>2225600</v>
      </c>
      <c r="E9" s="88">
        <f t="shared" si="3"/>
        <v>2180800</v>
      </c>
      <c r="F9" s="108">
        <f t="shared" si="3"/>
        <v>2049700</v>
      </c>
      <c r="G9" s="88">
        <f t="shared" si="3"/>
        <v>1257695</v>
      </c>
      <c r="H9" s="88">
        <f t="shared" si="3"/>
        <v>2013698</v>
      </c>
      <c r="I9" s="88">
        <f t="shared" si="3"/>
        <v>1301851</v>
      </c>
      <c r="J9" s="88">
        <f t="shared" si="3"/>
        <v>1454302</v>
      </c>
      <c r="K9" s="88">
        <f t="shared" si="3"/>
        <v>1249074</v>
      </c>
    </row>
    <row r="10">
      <c r="A10" s="134" t="s">
        <v>181</v>
      </c>
      <c r="B10" s="88">
        <f t="shared" ref="B10:K10" si="4">B5</f>
        <v>1485700</v>
      </c>
      <c r="C10" s="88">
        <f t="shared" si="4"/>
        <v>1280300</v>
      </c>
      <c r="D10" s="88">
        <f t="shared" si="4"/>
        <v>1689700</v>
      </c>
      <c r="E10" s="88">
        <f t="shared" si="4"/>
        <v>1028100</v>
      </c>
      <c r="F10" s="108">
        <f t="shared" si="4"/>
        <v>1049800</v>
      </c>
      <c r="G10" s="88">
        <f t="shared" si="4"/>
        <v>2493313</v>
      </c>
      <c r="H10" s="88">
        <f t="shared" si="4"/>
        <v>1891745</v>
      </c>
      <c r="I10" s="88">
        <f t="shared" si="4"/>
        <v>2008793</v>
      </c>
      <c r="J10" s="88">
        <f t="shared" si="4"/>
        <v>2418566</v>
      </c>
      <c r="K10" s="88">
        <f t="shared" si="4"/>
        <v>2076543</v>
      </c>
    </row>
    <row r="11">
      <c r="A11" s="137" t="s">
        <v>184</v>
      </c>
      <c r="B11" s="138">
        <f t="shared" ref="B11:K11" si="5">B9/B10</f>
        <v>1.52332234</v>
      </c>
      <c r="C11" s="138">
        <f t="shared" si="5"/>
        <v>1.75927517</v>
      </c>
      <c r="D11" s="138">
        <f t="shared" si="5"/>
        <v>1.317156892</v>
      </c>
      <c r="E11" s="138">
        <f t="shared" si="5"/>
        <v>2.121194436</v>
      </c>
      <c r="F11" s="139">
        <f t="shared" si="5"/>
        <v>1.952467137</v>
      </c>
      <c r="G11" s="138">
        <f t="shared" si="5"/>
        <v>0.504427242</v>
      </c>
      <c r="H11" s="138">
        <f t="shared" si="5"/>
        <v>1.064465877</v>
      </c>
      <c r="I11" s="138">
        <f t="shared" si="5"/>
        <v>0.6480762328</v>
      </c>
      <c r="J11" s="138">
        <f t="shared" si="5"/>
        <v>0.6013075517</v>
      </c>
      <c r="K11" s="138">
        <f t="shared" si="5"/>
        <v>0.6015160774</v>
      </c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</row>
    <row r="12">
      <c r="A12" s="134" t="s">
        <v>185</v>
      </c>
      <c r="B12" s="117">
        <f>826.8*1000</f>
        <v>826800</v>
      </c>
      <c r="C12" s="117">
        <f>787.6*1000</f>
        <v>787600</v>
      </c>
      <c r="D12" s="117">
        <f>830.9*1000</f>
        <v>830900</v>
      </c>
      <c r="E12" s="117">
        <f>651.6*1000</f>
        <v>651600</v>
      </c>
      <c r="F12" s="140">
        <f>591*1000</f>
        <v>591000</v>
      </c>
      <c r="G12" s="141">
        <v>2082884.0</v>
      </c>
      <c r="H12" s="141">
        <v>1699657.0</v>
      </c>
      <c r="I12" s="141">
        <v>1763873.0</v>
      </c>
      <c r="J12" s="141">
        <v>1599993.0</v>
      </c>
      <c r="K12" s="141">
        <v>1249515.0</v>
      </c>
    </row>
    <row r="13">
      <c r="A13" s="114" t="s">
        <v>186</v>
      </c>
      <c r="B13" s="88">
        <f t="shared" ref="B13:K13" si="6">B4-B5</f>
        <v>1539100</v>
      </c>
      <c r="C13" s="88">
        <f t="shared" si="6"/>
        <v>1673600</v>
      </c>
      <c r="D13" s="88">
        <f t="shared" si="6"/>
        <v>1286000</v>
      </c>
      <c r="E13" s="88">
        <f t="shared" si="6"/>
        <v>1904900</v>
      </c>
      <c r="F13" s="108">
        <f t="shared" si="6"/>
        <v>1731300</v>
      </c>
      <c r="G13" s="88">
        <f t="shared" si="6"/>
        <v>-247107</v>
      </c>
      <c r="H13" s="88">
        <f t="shared" si="6"/>
        <v>1086160</v>
      </c>
      <c r="I13" s="88">
        <f t="shared" si="6"/>
        <v>108309</v>
      </c>
      <c r="J13" s="88">
        <f t="shared" si="6"/>
        <v>-179385</v>
      </c>
      <c r="K13" s="88">
        <f t="shared" si="6"/>
        <v>-74633</v>
      </c>
    </row>
    <row r="14">
      <c r="A14" s="137" t="s">
        <v>187</v>
      </c>
      <c r="B14" s="142">
        <f t="shared" ref="B14:K14" si="7">B12/B10</f>
        <v>0.556505351</v>
      </c>
      <c r="C14" s="142">
        <f t="shared" si="7"/>
        <v>0.6151683199</v>
      </c>
      <c r="D14" s="142">
        <f t="shared" si="7"/>
        <v>0.4917440966</v>
      </c>
      <c r="E14" s="142">
        <f t="shared" si="7"/>
        <v>0.6337904873</v>
      </c>
      <c r="F14" s="143">
        <f t="shared" si="7"/>
        <v>0.5629643742</v>
      </c>
      <c r="G14" s="142">
        <f t="shared" si="7"/>
        <v>0.8353880961</v>
      </c>
      <c r="H14" s="142">
        <f t="shared" si="7"/>
        <v>0.8984598876</v>
      </c>
      <c r="I14" s="142">
        <f t="shared" si="7"/>
        <v>0.8780760387</v>
      </c>
      <c r="J14" s="142">
        <f t="shared" si="7"/>
        <v>0.6615461393</v>
      </c>
      <c r="K14" s="142">
        <f t="shared" si="7"/>
        <v>0.6017284496</v>
      </c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>
      <c r="A15" s="84" t="s">
        <v>188</v>
      </c>
      <c r="B15" s="88">
        <f t="shared" ref="B15:K15" si="8">B8</f>
        <v>761600</v>
      </c>
      <c r="C15" s="88">
        <f t="shared" si="8"/>
        <v>701500</v>
      </c>
      <c r="D15" s="88">
        <f t="shared" si="8"/>
        <v>750100</v>
      </c>
      <c r="E15" s="88">
        <f t="shared" si="8"/>
        <v>752200</v>
      </c>
      <c r="F15" s="108">
        <f t="shared" si="8"/>
        <v>731400</v>
      </c>
      <c r="G15" s="88">
        <f t="shared" si="8"/>
        <v>988511</v>
      </c>
      <c r="H15" s="88">
        <f t="shared" si="8"/>
        <v>964207</v>
      </c>
      <c r="I15" s="88">
        <f t="shared" si="8"/>
        <v>815251</v>
      </c>
      <c r="J15" s="88">
        <f t="shared" si="8"/>
        <v>784879</v>
      </c>
      <c r="K15" s="88">
        <f t="shared" si="8"/>
        <v>752836</v>
      </c>
    </row>
    <row r="16">
      <c r="A16" s="84" t="s">
        <v>189</v>
      </c>
      <c r="B16" s="118">
        <f>ABS('Income Statement'!B5)</f>
        <v>2504100</v>
      </c>
      <c r="C16" s="118">
        <f>ABS('Income Statement'!C5)</f>
        <v>2307000</v>
      </c>
      <c r="D16" s="118">
        <f>ABS('Income Statement'!D5)</f>
        <v>2496500</v>
      </c>
      <c r="E16" s="118">
        <f>ABS('Income Statement'!E5)</f>
        <v>2372400</v>
      </c>
      <c r="F16" s="81">
        <f>ABS('Income Statement'!F5)</f>
        <v>2311700</v>
      </c>
      <c r="G16" s="118">
        <f>ABS('Income Statement'!G5)</f>
        <v>4922739</v>
      </c>
      <c r="H16" s="118">
        <f>ABS('Income Statement'!H5)</f>
        <v>4448450</v>
      </c>
      <c r="I16" s="118">
        <f>ABS('Income Statement'!I5)</f>
        <v>4363774</v>
      </c>
      <c r="J16" s="118">
        <f>ABS('Income Statement'!J5)</f>
        <v>4215744</v>
      </c>
      <c r="K16" s="118">
        <f>ABS('Income Statement'!K5)</f>
        <v>4060050</v>
      </c>
    </row>
    <row r="17">
      <c r="A17" s="144" t="s">
        <v>190</v>
      </c>
      <c r="B17" s="138">
        <f t="shared" ref="B17:K17" si="9">B15*365/B16</f>
        <v>111.0115411</v>
      </c>
      <c r="C17" s="138">
        <f t="shared" si="9"/>
        <v>110.9872128</v>
      </c>
      <c r="D17" s="138">
        <f t="shared" si="9"/>
        <v>109.6681354</v>
      </c>
      <c r="E17" s="138">
        <f t="shared" si="9"/>
        <v>115.7279548</v>
      </c>
      <c r="F17" s="139">
        <f t="shared" si="9"/>
        <v>115.4825453</v>
      </c>
      <c r="G17" s="138">
        <f t="shared" si="9"/>
        <v>73.2938543</v>
      </c>
      <c r="H17" s="138">
        <f t="shared" si="9"/>
        <v>79.1141982</v>
      </c>
      <c r="I17" s="138">
        <f t="shared" si="9"/>
        <v>68.19019844</v>
      </c>
      <c r="J17" s="138">
        <f t="shared" si="9"/>
        <v>67.95498849</v>
      </c>
      <c r="K17" s="138">
        <f t="shared" si="9"/>
        <v>67.68023547</v>
      </c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>
      <c r="A18" s="145" t="s">
        <v>191</v>
      </c>
      <c r="B18" s="88">
        <f>'Balance Sheet'!B5</f>
        <v>895300</v>
      </c>
      <c r="C18" s="88">
        <f>'Balance Sheet'!C5</f>
        <v>825000</v>
      </c>
      <c r="D18" s="88">
        <f>'Balance Sheet'!D5</f>
        <v>973800</v>
      </c>
      <c r="E18" s="88">
        <f>'Balance Sheet'!E5</f>
        <v>1023200</v>
      </c>
      <c r="F18" s="108">
        <f>'Balance Sheet'!F5</f>
        <v>1047500</v>
      </c>
      <c r="G18" s="88">
        <f>'Balance Sheet'!G5</f>
        <v>671464</v>
      </c>
      <c r="H18" s="88">
        <f>'Balance Sheet'!H5</f>
        <v>615233</v>
      </c>
      <c r="I18" s="88">
        <f>'Balance Sheet'!I5</f>
        <v>568509</v>
      </c>
      <c r="J18" s="88">
        <f>'Balance Sheet'!J5</f>
        <v>594145</v>
      </c>
      <c r="K18" s="88">
        <f>'Balance Sheet'!K5</f>
        <v>588262</v>
      </c>
    </row>
    <row r="19">
      <c r="A19" s="84" t="s">
        <v>192</v>
      </c>
      <c r="B19" s="88">
        <f>'Income Statement'!B4</f>
        <v>4616900</v>
      </c>
      <c r="C19" s="88">
        <f>'Income Statement'!C4</f>
        <v>4039000</v>
      </c>
      <c r="D19" s="88">
        <f>'Income Statement'!D4</f>
        <v>4525600</v>
      </c>
      <c r="E19" s="88">
        <f>'Income Statement'!E4</f>
        <v>4332500</v>
      </c>
      <c r="F19" s="108">
        <f>'Income Statement'!F4</f>
        <v>4106100</v>
      </c>
      <c r="G19" s="88">
        <f>'Income Statement'!G4</f>
        <v>8971337</v>
      </c>
      <c r="H19" s="88">
        <f>'Income Statement'!H4</f>
        <v>8149719</v>
      </c>
      <c r="I19" s="88">
        <f>'Income Statement'!I4</f>
        <v>7986252</v>
      </c>
      <c r="J19" s="88">
        <f>'Income Statement'!J4</f>
        <v>7791069</v>
      </c>
      <c r="K19" s="88">
        <f>'Income Statement'!K4</f>
        <v>7515426</v>
      </c>
    </row>
    <row r="20">
      <c r="A20" s="144" t="s">
        <v>193</v>
      </c>
      <c r="B20" s="138">
        <f t="shared" ref="B20:K20" si="10">B18*365/B19</f>
        <v>70.78006888</v>
      </c>
      <c r="C20" s="138">
        <f t="shared" si="10"/>
        <v>74.55434513</v>
      </c>
      <c r="D20" s="138">
        <f t="shared" si="10"/>
        <v>78.53919922</v>
      </c>
      <c r="E20" s="138">
        <f t="shared" si="10"/>
        <v>86.20150029</v>
      </c>
      <c r="F20" s="139">
        <f t="shared" si="10"/>
        <v>93.11451255</v>
      </c>
      <c r="G20" s="138">
        <f t="shared" si="10"/>
        <v>27.31859922</v>
      </c>
      <c r="H20" s="138">
        <f t="shared" si="10"/>
        <v>27.55432979</v>
      </c>
      <c r="I20" s="138">
        <f t="shared" si="10"/>
        <v>25.9828747</v>
      </c>
      <c r="J20" s="138">
        <f t="shared" si="10"/>
        <v>27.83480996</v>
      </c>
      <c r="K20" s="138">
        <f t="shared" si="10"/>
        <v>28.56998792</v>
      </c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</row>
    <row r="21">
      <c r="A21" s="84" t="s">
        <v>194</v>
      </c>
      <c r="B21" s="88">
        <f>'Balance Sheet'!B16</f>
        <v>341700</v>
      </c>
      <c r="C21" s="88">
        <f>'Balance Sheet'!C16</f>
        <v>303000</v>
      </c>
      <c r="D21" s="88">
        <f>'Balance Sheet'!D16</f>
        <v>292700</v>
      </c>
      <c r="E21" s="88">
        <f>'Balance Sheet'!E16</f>
        <v>270400</v>
      </c>
      <c r="F21" s="108">
        <f>'Balance Sheet'!F16</f>
        <v>270500</v>
      </c>
      <c r="G21" s="88">
        <f>'Balance Sheet'!G16</f>
        <v>692338</v>
      </c>
      <c r="H21" s="88">
        <f>'Balance Sheet'!H16</f>
        <v>580058</v>
      </c>
      <c r="I21" s="88">
        <f>'Balance Sheet'!I16</f>
        <v>550828</v>
      </c>
      <c r="J21" s="88">
        <f>'Balance Sheet'!J16</f>
        <v>502314</v>
      </c>
      <c r="K21" s="88">
        <f>'Balance Sheet'!K16</f>
        <v>523229</v>
      </c>
    </row>
    <row r="22">
      <c r="A22" s="84" t="s">
        <v>189</v>
      </c>
      <c r="B22" s="118">
        <f t="shared" ref="B22:K22" si="11">B16</f>
        <v>2504100</v>
      </c>
      <c r="C22" s="118">
        <f t="shared" si="11"/>
        <v>2307000</v>
      </c>
      <c r="D22" s="118">
        <f t="shared" si="11"/>
        <v>2496500</v>
      </c>
      <c r="E22" s="118">
        <f t="shared" si="11"/>
        <v>2372400</v>
      </c>
      <c r="F22" s="81">
        <f t="shared" si="11"/>
        <v>2311700</v>
      </c>
      <c r="G22" s="118">
        <f t="shared" si="11"/>
        <v>4922739</v>
      </c>
      <c r="H22" s="118">
        <f t="shared" si="11"/>
        <v>4448450</v>
      </c>
      <c r="I22" s="118">
        <f t="shared" si="11"/>
        <v>4363774</v>
      </c>
      <c r="J22" s="118">
        <f t="shared" si="11"/>
        <v>4215744</v>
      </c>
      <c r="K22" s="118">
        <f t="shared" si="11"/>
        <v>4060050</v>
      </c>
    </row>
    <row r="23">
      <c r="A23" s="144" t="s">
        <v>195</v>
      </c>
      <c r="B23" s="138">
        <f t="shared" ref="B23:K23" si="12">B21*365/B22</f>
        <v>49.80651731</v>
      </c>
      <c r="C23" s="138">
        <f t="shared" si="12"/>
        <v>47.93888166</v>
      </c>
      <c r="D23" s="138">
        <f t="shared" si="12"/>
        <v>42.79411176</v>
      </c>
      <c r="E23" s="138">
        <f t="shared" si="12"/>
        <v>41.6017535</v>
      </c>
      <c r="F23" s="139">
        <f t="shared" si="12"/>
        <v>42.70991046</v>
      </c>
      <c r="G23" s="138">
        <f t="shared" si="12"/>
        <v>51.33389562</v>
      </c>
      <c r="H23" s="138">
        <f t="shared" si="12"/>
        <v>47.59436883</v>
      </c>
      <c r="I23" s="138">
        <f t="shared" si="12"/>
        <v>46.07301386</v>
      </c>
      <c r="J23" s="138">
        <f t="shared" si="12"/>
        <v>43.49045151</v>
      </c>
      <c r="K23" s="138">
        <f t="shared" si="12"/>
        <v>47.03848105</v>
      </c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>
      <c r="A24" s="120" t="s">
        <v>196</v>
      </c>
      <c r="B24" s="138">
        <f t="shared" ref="B24:K24" si="13">B17+B20-B23</f>
        <v>131.9850926</v>
      </c>
      <c r="C24" s="138">
        <f t="shared" si="13"/>
        <v>137.6026763</v>
      </c>
      <c r="D24" s="138">
        <f t="shared" si="13"/>
        <v>145.4132229</v>
      </c>
      <c r="E24" s="138">
        <f t="shared" si="13"/>
        <v>160.3277016</v>
      </c>
      <c r="F24" s="139">
        <f t="shared" si="13"/>
        <v>165.8871474</v>
      </c>
      <c r="G24" s="138">
        <f t="shared" si="13"/>
        <v>49.2785579</v>
      </c>
      <c r="H24" s="138">
        <f t="shared" si="13"/>
        <v>59.07415917</v>
      </c>
      <c r="I24" s="138">
        <f t="shared" si="13"/>
        <v>48.10005927</v>
      </c>
      <c r="J24" s="138">
        <f t="shared" si="13"/>
        <v>52.29934694</v>
      </c>
      <c r="K24" s="138">
        <f t="shared" si="13"/>
        <v>49.21174233</v>
      </c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134" t="s">
        <v>169</v>
      </c>
      <c r="B25" s="88">
        <f>'Income Statement'!B4</f>
        <v>4616900</v>
      </c>
      <c r="C25" s="88">
        <f>'Income Statement'!C4</f>
        <v>4039000</v>
      </c>
      <c r="D25" s="88">
        <f>'Income Statement'!D4</f>
        <v>4525600</v>
      </c>
      <c r="E25" s="88">
        <f>'Income Statement'!E4</f>
        <v>4332500</v>
      </c>
      <c r="F25" s="108">
        <f>'Income Statement'!F4</f>
        <v>4106100</v>
      </c>
      <c r="G25" s="88">
        <f>'Income Statement'!G4</f>
        <v>8971337</v>
      </c>
      <c r="H25" s="88">
        <f>'Income Statement'!H4</f>
        <v>8149719</v>
      </c>
      <c r="I25" s="88">
        <f>'Income Statement'!I4</f>
        <v>7986252</v>
      </c>
      <c r="J25" s="88">
        <f>'Income Statement'!J4</f>
        <v>7791069</v>
      </c>
      <c r="K25" s="88">
        <f>'Income Statement'!K4</f>
        <v>7515426</v>
      </c>
    </row>
    <row r="26">
      <c r="A26" s="134" t="s">
        <v>13</v>
      </c>
      <c r="B26" s="88">
        <f>'Balance Sheet'!B15</f>
        <v>8956100</v>
      </c>
      <c r="C26" s="88">
        <f>'Balance Sheet'!C15</f>
        <v>8051000</v>
      </c>
      <c r="D26" s="88">
        <f>'Balance Sheet'!D15</f>
        <v>8040800</v>
      </c>
      <c r="E26" s="88">
        <f>'Balance Sheet'!E15</f>
        <v>7249800</v>
      </c>
      <c r="F26" s="108">
        <f>'Balance Sheet'!F15</f>
        <v>6975600</v>
      </c>
      <c r="G26" s="88">
        <f>'Balance Sheet'!G15</f>
        <v>10412231</v>
      </c>
      <c r="H26" s="88">
        <f>'Balance Sheet'!H15</f>
        <v>9131845</v>
      </c>
      <c r="I26" s="88">
        <f>'Balance Sheet'!I15</f>
        <v>8140395</v>
      </c>
      <c r="J26" s="88">
        <f>'Balance Sheet'!J15</f>
        <v>7703020</v>
      </c>
      <c r="K26" s="88">
        <f>'Balance Sheet'!K15</f>
        <v>5553726</v>
      </c>
    </row>
    <row r="27">
      <c r="A27" s="137" t="s">
        <v>197</v>
      </c>
      <c r="B27" s="138">
        <f t="shared" ref="B27:K27" si="14">B25/B26</f>
        <v>0.5155033999</v>
      </c>
      <c r="C27" s="138">
        <f t="shared" si="14"/>
        <v>0.5016768103</v>
      </c>
      <c r="D27" s="138">
        <f t="shared" si="14"/>
        <v>0.5628295692</v>
      </c>
      <c r="E27" s="138">
        <f t="shared" si="14"/>
        <v>0.5976026925</v>
      </c>
      <c r="F27" s="139">
        <f t="shared" si="14"/>
        <v>0.5886375366</v>
      </c>
      <c r="G27" s="138">
        <f t="shared" si="14"/>
        <v>0.8616152485</v>
      </c>
      <c r="H27" s="138">
        <f t="shared" si="14"/>
        <v>0.8924504303</v>
      </c>
      <c r="I27" s="138">
        <f t="shared" si="14"/>
        <v>0.9810644324</v>
      </c>
      <c r="J27" s="138">
        <f t="shared" si="14"/>
        <v>1.011430452</v>
      </c>
      <c r="K27" s="138">
        <f t="shared" si="14"/>
        <v>1.353222323</v>
      </c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>
      <c r="A28" s="84" t="s">
        <v>198</v>
      </c>
      <c r="F28" s="81"/>
    </row>
    <row r="29">
      <c r="A29" s="120" t="s">
        <v>199</v>
      </c>
      <c r="F29" s="81"/>
    </row>
    <row r="30">
      <c r="A30" s="84"/>
      <c r="F30" s="81"/>
    </row>
    <row r="31">
      <c r="A31" s="84"/>
      <c r="F31" s="81"/>
    </row>
    <row r="32">
      <c r="A32" s="84"/>
      <c r="F32" s="81"/>
    </row>
    <row r="33">
      <c r="A33" s="84"/>
      <c r="F33" s="81"/>
    </row>
    <row r="34">
      <c r="A34" s="84"/>
      <c r="F34" s="81"/>
    </row>
    <row r="35">
      <c r="A35" s="84"/>
      <c r="F35" s="81"/>
    </row>
    <row r="36">
      <c r="A36" s="84"/>
      <c r="F36" s="81"/>
    </row>
    <row r="37">
      <c r="A37" s="84"/>
      <c r="F37" s="81"/>
    </row>
    <row r="38">
      <c r="A38" s="84"/>
      <c r="F38" s="81"/>
    </row>
    <row r="39">
      <c r="A39" s="84"/>
      <c r="F39" s="81"/>
    </row>
    <row r="40">
      <c r="A40" s="84"/>
      <c r="F40" s="81"/>
    </row>
    <row r="41">
      <c r="A41" s="84"/>
      <c r="F41" s="81"/>
    </row>
    <row r="42">
      <c r="A42" s="84"/>
      <c r="F42" s="81"/>
    </row>
    <row r="43">
      <c r="A43" s="84"/>
      <c r="F43" s="81"/>
    </row>
    <row r="44">
      <c r="A44" s="84"/>
      <c r="F44" s="81"/>
    </row>
    <row r="45">
      <c r="A45" s="84"/>
      <c r="F45" s="81"/>
    </row>
    <row r="46">
      <c r="A46" s="84"/>
      <c r="F46" s="81"/>
    </row>
    <row r="47">
      <c r="A47" s="84"/>
      <c r="F47" s="81"/>
    </row>
    <row r="48">
      <c r="A48" s="84"/>
      <c r="F48" s="81"/>
    </row>
    <row r="49">
      <c r="A49" s="84"/>
      <c r="F49" s="81"/>
    </row>
    <row r="50">
      <c r="A50" s="84"/>
      <c r="F50" s="81"/>
    </row>
    <row r="51">
      <c r="A51" s="84"/>
      <c r="F51" s="81"/>
    </row>
    <row r="52">
      <c r="A52" s="84"/>
      <c r="F52" s="81"/>
    </row>
    <row r="53">
      <c r="A53" s="84"/>
      <c r="F53" s="81"/>
    </row>
    <row r="54">
      <c r="A54" s="84"/>
      <c r="F54" s="81"/>
    </row>
    <row r="55">
      <c r="A55" s="84"/>
      <c r="F55" s="81"/>
    </row>
    <row r="56">
      <c r="A56" s="84"/>
      <c r="F56" s="81"/>
    </row>
    <row r="57">
      <c r="A57" s="84"/>
      <c r="F57" s="81"/>
    </row>
    <row r="58">
      <c r="A58" s="84"/>
      <c r="F58" s="81"/>
    </row>
    <row r="59">
      <c r="A59" s="84"/>
      <c r="F59" s="81"/>
    </row>
    <row r="60">
      <c r="A60" s="84"/>
      <c r="F60" s="81"/>
    </row>
    <row r="61">
      <c r="A61" s="84"/>
      <c r="F61" s="81"/>
    </row>
    <row r="62">
      <c r="A62" s="84"/>
      <c r="F62" s="81"/>
    </row>
    <row r="63">
      <c r="A63" s="84"/>
      <c r="F63" s="81"/>
    </row>
    <row r="64">
      <c r="A64" s="84"/>
      <c r="F64" s="81"/>
    </row>
    <row r="65">
      <c r="A65" s="84"/>
      <c r="F65" s="81"/>
    </row>
    <row r="66">
      <c r="A66" s="84"/>
      <c r="F66" s="81"/>
    </row>
    <row r="67">
      <c r="A67" s="84"/>
      <c r="F67" s="81"/>
    </row>
    <row r="68">
      <c r="A68" s="84"/>
      <c r="F68" s="81"/>
    </row>
    <row r="69">
      <c r="A69" s="84"/>
      <c r="F69" s="81"/>
    </row>
    <row r="70">
      <c r="A70" s="84"/>
      <c r="F70" s="81"/>
    </row>
    <row r="71">
      <c r="A71" s="84"/>
      <c r="F71" s="81"/>
    </row>
    <row r="72">
      <c r="A72" s="84"/>
      <c r="F72" s="81"/>
    </row>
    <row r="73">
      <c r="A73" s="84"/>
      <c r="F73" s="81"/>
    </row>
    <row r="74">
      <c r="A74" s="84"/>
      <c r="F74" s="81"/>
    </row>
    <row r="75">
      <c r="A75" s="84"/>
      <c r="F75" s="81"/>
    </row>
    <row r="76">
      <c r="A76" s="84"/>
      <c r="F76" s="81"/>
    </row>
    <row r="77">
      <c r="A77" s="84"/>
      <c r="F77" s="81"/>
    </row>
    <row r="78">
      <c r="A78" s="84"/>
      <c r="F78" s="81"/>
    </row>
    <row r="79">
      <c r="A79" s="84"/>
      <c r="F79" s="81"/>
    </row>
    <row r="80">
      <c r="A80" s="84"/>
      <c r="F80" s="81"/>
    </row>
    <row r="81">
      <c r="A81" s="84"/>
      <c r="F81" s="81"/>
    </row>
    <row r="82">
      <c r="A82" s="84"/>
      <c r="F82" s="81"/>
    </row>
    <row r="83">
      <c r="A83" s="84"/>
      <c r="F83" s="81"/>
    </row>
    <row r="84">
      <c r="A84" s="84"/>
      <c r="F84" s="81"/>
    </row>
    <row r="85">
      <c r="A85" s="84"/>
      <c r="F85" s="81"/>
    </row>
    <row r="86">
      <c r="A86" s="84"/>
      <c r="F86" s="81"/>
    </row>
    <row r="87">
      <c r="A87" s="84"/>
      <c r="F87" s="81"/>
    </row>
    <row r="88">
      <c r="A88" s="84"/>
      <c r="F88" s="81"/>
    </row>
    <row r="89">
      <c r="A89" s="84"/>
      <c r="F89" s="81"/>
    </row>
    <row r="90">
      <c r="A90" s="84"/>
      <c r="F90" s="81"/>
    </row>
    <row r="91">
      <c r="A91" s="84"/>
      <c r="F91" s="81"/>
    </row>
    <row r="92">
      <c r="A92" s="84"/>
      <c r="F92" s="81"/>
    </row>
    <row r="93">
      <c r="A93" s="84"/>
      <c r="F93" s="81"/>
    </row>
    <row r="94">
      <c r="A94" s="84"/>
      <c r="F94" s="81"/>
    </row>
    <row r="95">
      <c r="A95" s="84"/>
      <c r="F95" s="81"/>
    </row>
    <row r="96">
      <c r="A96" s="84"/>
      <c r="F96" s="81"/>
    </row>
    <row r="97">
      <c r="A97" s="84"/>
      <c r="F97" s="81"/>
    </row>
    <row r="98">
      <c r="A98" s="84"/>
      <c r="F98" s="81"/>
    </row>
    <row r="99">
      <c r="A99" s="84"/>
      <c r="F99" s="81"/>
    </row>
    <row r="100">
      <c r="A100" s="84"/>
      <c r="F100" s="81"/>
    </row>
    <row r="101">
      <c r="A101" s="84"/>
      <c r="F101" s="81"/>
    </row>
    <row r="102">
      <c r="A102" s="84"/>
      <c r="F102" s="81"/>
    </row>
    <row r="103">
      <c r="A103" s="84"/>
      <c r="F103" s="81"/>
    </row>
    <row r="104">
      <c r="A104" s="84"/>
      <c r="F104" s="81"/>
    </row>
    <row r="105">
      <c r="A105" s="84"/>
      <c r="F105" s="81"/>
    </row>
    <row r="106">
      <c r="A106" s="84"/>
      <c r="F106" s="81"/>
    </row>
    <row r="107">
      <c r="A107" s="84"/>
      <c r="F107" s="81"/>
    </row>
    <row r="108">
      <c r="A108" s="84"/>
      <c r="F108" s="81"/>
    </row>
    <row r="109">
      <c r="A109" s="84"/>
      <c r="F109" s="81"/>
    </row>
    <row r="110">
      <c r="A110" s="84"/>
      <c r="F110" s="81"/>
    </row>
    <row r="111">
      <c r="A111" s="84"/>
      <c r="F111" s="81"/>
    </row>
    <row r="112">
      <c r="A112" s="84"/>
      <c r="F112" s="81"/>
    </row>
    <row r="113">
      <c r="A113" s="84"/>
      <c r="F113" s="81"/>
    </row>
    <row r="114">
      <c r="A114" s="84"/>
      <c r="F114" s="81"/>
    </row>
    <row r="115">
      <c r="A115" s="84"/>
      <c r="F115" s="81"/>
    </row>
    <row r="116">
      <c r="A116" s="84"/>
      <c r="F116" s="81"/>
    </row>
    <row r="117">
      <c r="A117" s="84"/>
      <c r="F117" s="81"/>
    </row>
    <row r="118">
      <c r="A118" s="84"/>
      <c r="F118" s="81"/>
    </row>
    <row r="119">
      <c r="A119" s="84"/>
      <c r="F119" s="81"/>
    </row>
    <row r="120">
      <c r="A120" s="84"/>
      <c r="F120" s="81"/>
    </row>
    <row r="121">
      <c r="A121" s="84"/>
      <c r="F121" s="81"/>
    </row>
    <row r="122">
      <c r="A122" s="84"/>
      <c r="F122" s="81"/>
    </row>
    <row r="123">
      <c r="A123" s="84"/>
      <c r="F123" s="81"/>
    </row>
    <row r="124">
      <c r="A124" s="84"/>
      <c r="F124" s="81"/>
    </row>
    <row r="125">
      <c r="A125" s="84"/>
      <c r="F125" s="81"/>
    </row>
    <row r="126">
      <c r="A126" s="84"/>
      <c r="F126" s="81"/>
    </row>
    <row r="127">
      <c r="A127" s="84"/>
      <c r="F127" s="81"/>
    </row>
    <row r="128">
      <c r="A128" s="84"/>
      <c r="F128" s="81"/>
    </row>
    <row r="129">
      <c r="A129" s="84"/>
      <c r="F129" s="81"/>
    </row>
    <row r="130">
      <c r="A130" s="84"/>
      <c r="F130" s="81"/>
    </row>
    <row r="131">
      <c r="A131" s="84"/>
      <c r="F131" s="81"/>
    </row>
    <row r="132">
      <c r="A132" s="84"/>
      <c r="F132" s="81"/>
    </row>
    <row r="133">
      <c r="A133" s="84"/>
      <c r="F133" s="81"/>
    </row>
    <row r="134">
      <c r="A134" s="84"/>
      <c r="F134" s="81"/>
    </row>
    <row r="135">
      <c r="A135" s="84"/>
      <c r="F135" s="81"/>
    </row>
    <row r="136">
      <c r="A136" s="84"/>
      <c r="F136" s="81"/>
    </row>
    <row r="137">
      <c r="A137" s="84"/>
      <c r="F137" s="81"/>
    </row>
    <row r="138">
      <c r="A138" s="84"/>
      <c r="F138" s="81"/>
    </row>
    <row r="139">
      <c r="A139" s="84"/>
      <c r="F139" s="81"/>
    </row>
    <row r="140">
      <c r="A140" s="84"/>
      <c r="F140" s="81"/>
    </row>
    <row r="141">
      <c r="A141" s="84"/>
      <c r="F141" s="81"/>
    </row>
    <row r="142">
      <c r="A142" s="84"/>
      <c r="F142" s="81"/>
    </row>
    <row r="143">
      <c r="A143" s="84"/>
      <c r="F143" s="81"/>
    </row>
    <row r="144">
      <c r="A144" s="84"/>
      <c r="F144" s="81"/>
    </row>
    <row r="145">
      <c r="A145" s="84"/>
      <c r="F145" s="81"/>
    </row>
    <row r="146">
      <c r="A146" s="84"/>
      <c r="F146" s="81"/>
    </row>
    <row r="147">
      <c r="A147" s="84"/>
      <c r="F147" s="81"/>
    </row>
    <row r="148">
      <c r="A148" s="84"/>
      <c r="F148" s="81"/>
    </row>
    <row r="149">
      <c r="A149" s="84"/>
      <c r="F149" s="81"/>
    </row>
    <row r="150">
      <c r="A150" s="84"/>
      <c r="F150" s="81"/>
    </row>
    <row r="151">
      <c r="A151" s="84"/>
      <c r="F151" s="81"/>
    </row>
    <row r="152">
      <c r="A152" s="84"/>
      <c r="F152" s="81"/>
    </row>
    <row r="153">
      <c r="A153" s="84"/>
      <c r="F153" s="81"/>
    </row>
    <row r="154">
      <c r="A154" s="84"/>
      <c r="F154" s="81"/>
    </row>
    <row r="155">
      <c r="A155" s="84"/>
      <c r="F155" s="81"/>
    </row>
    <row r="156">
      <c r="A156" s="84"/>
      <c r="F156" s="81"/>
    </row>
    <row r="157">
      <c r="A157" s="84"/>
      <c r="F157" s="81"/>
    </row>
    <row r="158">
      <c r="A158" s="84"/>
      <c r="F158" s="81"/>
    </row>
    <row r="159">
      <c r="A159" s="84"/>
      <c r="F159" s="81"/>
    </row>
    <row r="160">
      <c r="A160" s="84"/>
      <c r="F160" s="81"/>
    </row>
    <row r="161">
      <c r="A161" s="84"/>
      <c r="F161" s="81"/>
    </row>
    <row r="162">
      <c r="A162" s="84"/>
      <c r="F162" s="81"/>
    </row>
    <row r="163">
      <c r="A163" s="84"/>
      <c r="F163" s="81"/>
    </row>
    <row r="164">
      <c r="A164" s="84"/>
      <c r="F164" s="81"/>
    </row>
    <row r="165">
      <c r="A165" s="84"/>
      <c r="F165" s="81"/>
    </row>
    <row r="166">
      <c r="A166" s="84"/>
      <c r="F166" s="81"/>
    </row>
    <row r="167">
      <c r="A167" s="84"/>
      <c r="F167" s="81"/>
    </row>
    <row r="168">
      <c r="A168" s="84"/>
      <c r="F168" s="81"/>
    </row>
    <row r="169">
      <c r="A169" s="84"/>
      <c r="F169" s="81"/>
    </row>
    <row r="170">
      <c r="A170" s="84"/>
      <c r="F170" s="81"/>
    </row>
    <row r="171">
      <c r="A171" s="84"/>
      <c r="F171" s="81"/>
    </row>
    <row r="172">
      <c r="A172" s="84"/>
      <c r="F172" s="81"/>
    </row>
    <row r="173">
      <c r="A173" s="84"/>
      <c r="F173" s="81"/>
    </row>
    <row r="174">
      <c r="A174" s="84"/>
      <c r="F174" s="81"/>
    </row>
    <row r="175">
      <c r="A175" s="84"/>
      <c r="F175" s="81"/>
    </row>
    <row r="176">
      <c r="A176" s="84"/>
      <c r="F176" s="81"/>
    </row>
    <row r="177">
      <c r="A177" s="84"/>
      <c r="F177" s="81"/>
    </row>
    <row r="178">
      <c r="A178" s="84"/>
      <c r="F178" s="81"/>
    </row>
    <row r="179">
      <c r="A179" s="84"/>
      <c r="F179" s="81"/>
    </row>
    <row r="180">
      <c r="A180" s="84"/>
      <c r="F180" s="81"/>
    </row>
    <row r="181">
      <c r="A181" s="84"/>
      <c r="F181" s="81"/>
    </row>
    <row r="182">
      <c r="A182" s="84"/>
      <c r="F182" s="81"/>
    </row>
    <row r="183">
      <c r="A183" s="84"/>
      <c r="F183" s="81"/>
    </row>
    <row r="184">
      <c r="A184" s="84"/>
      <c r="F184" s="81"/>
    </row>
    <row r="185">
      <c r="A185" s="84"/>
      <c r="F185" s="81"/>
    </row>
    <row r="186">
      <c r="A186" s="84"/>
      <c r="F186" s="81"/>
    </row>
    <row r="187">
      <c r="A187" s="84"/>
      <c r="F187" s="81"/>
    </row>
    <row r="188">
      <c r="A188" s="84"/>
      <c r="F188" s="81"/>
    </row>
    <row r="189">
      <c r="A189" s="84"/>
      <c r="F189" s="81"/>
    </row>
    <row r="190">
      <c r="A190" s="84"/>
      <c r="F190" s="81"/>
    </row>
    <row r="191">
      <c r="A191" s="84"/>
      <c r="F191" s="81"/>
    </row>
    <row r="192">
      <c r="A192" s="84"/>
      <c r="F192" s="81"/>
    </row>
    <row r="193">
      <c r="A193" s="84"/>
      <c r="F193" s="81"/>
    </row>
    <row r="194">
      <c r="A194" s="84"/>
      <c r="F194" s="81"/>
    </row>
    <row r="195">
      <c r="A195" s="84"/>
      <c r="F195" s="81"/>
    </row>
    <row r="196">
      <c r="A196" s="84"/>
      <c r="F196" s="81"/>
    </row>
    <row r="197">
      <c r="A197" s="84"/>
      <c r="F197" s="81"/>
    </row>
    <row r="198">
      <c r="A198" s="84"/>
      <c r="F198" s="81"/>
    </row>
    <row r="199">
      <c r="A199" s="84"/>
      <c r="F199" s="81"/>
    </row>
    <row r="200">
      <c r="A200" s="84"/>
      <c r="F200" s="81"/>
    </row>
    <row r="201">
      <c r="A201" s="84"/>
      <c r="F201" s="81"/>
    </row>
    <row r="202">
      <c r="A202" s="84"/>
      <c r="F202" s="81"/>
    </row>
    <row r="203">
      <c r="A203" s="84"/>
      <c r="F203" s="81"/>
    </row>
    <row r="204">
      <c r="A204" s="84"/>
      <c r="F204" s="81"/>
    </row>
    <row r="205">
      <c r="A205" s="84"/>
      <c r="F205" s="81"/>
    </row>
    <row r="206">
      <c r="A206" s="84"/>
      <c r="F206" s="81"/>
    </row>
    <row r="207">
      <c r="A207" s="84"/>
      <c r="F207" s="81"/>
    </row>
    <row r="208">
      <c r="A208" s="84"/>
      <c r="F208" s="81"/>
    </row>
    <row r="209">
      <c r="A209" s="84"/>
      <c r="F209" s="81"/>
    </row>
    <row r="210">
      <c r="A210" s="84"/>
      <c r="F210" s="81"/>
    </row>
    <row r="211">
      <c r="A211" s="84"/>
      <c r="F211" s="81"/>
    </row>
    <row r="212">
      <c r="A212" s="84"/>
      <c r="F212" s="81"/>
    </row>
    <row r="213">
      <c r="A213" s="84"/>
      <c r="F213" s="81"/>
    </row>
    <row r="214">
      <c r="A214" s="84"/>
      <c r="F214" s="81"/>
    </row>
    <row r="215">
      <c r="A215" s="84"/>
      <c r="F215" s="81"/>
    </row>
    <row r="216">
      <c r="A216" s="84"/>
      <c r="F216" s="81"/>
    </row>
    <row r="217">
      <c r="A217" s="84"/>
      <c r="F217" s="81"/>
    </row>
    <row r="218">
      <c r="A218" s="84"/>
      <c r="F218" s="81"/>
    </row>
    <row r="219">
      <c r="A219" s="84"/>
      <c r="F219" s="81"/>
    </row>
    <row r="220">
      <c r="A220" s="84"/>
      <c r="F220" s="81"/>
    </row>
    <row r="221">
      <c r="A221" s="84"/>
      <c r="F221" s="81"/>
    </row>
    <row r="222">
      <c r="A222" s="84"/>
      <c r="F222" s="81"/>
    </row>
    <row r="223">
      <c r="A223" s="84"/>
      <c r="F223" s="81"/>
    </row>
    <row r="224">
      <c r="A224" s="84"/>
      <c r="F224" s="81"/>
    </row>
    <row r="225">
      <c r="A225" s="84"/>
      <c r="F225" s="81"/>
    </row>
    <row r="226">
      <c r="A226" s="84"/>
      <c r="F226" s="81"/>
    </row>
    <row r="227">
      <c r="A227" s="84"/>
      <c r="F227" s="81"/>
    </row>
    <row r="228">
      <c r="A228" s="84"/>
      <c r="F228" s="81"/>
    </row>
    <row r="229">
      <c r="A229" s="84"/>
      <c r="F229" s="81"/>
    </row>
    <row r="230">
      <c r="A230" s="84"/>
      <c r="F230" s="81"/>
    </row>
    <row r="231">
      <c r="A231" s="84"/>
      <c r="F231" s="81"/>
    </row>
    <row r="232">
      <c r="A232" s="84"/>
      <c r="F232" s="81"/>
    </row>
    <row r="233">
      <c r="A233" s="84"/>
      <c r="F233" s="81"/>
    </row>
    <row r="234">
      <c r="A234" s="84"/>
      <c r="F234" s="81"/>
    </row>
    <row r="235">
      <c r="A235" s="84"/>
      <c r="F235" s="81"/>
    </row>
    <row r="236">
      <c r="A236" s="84"/>
      <c r="F236" s="81"/>
    </row>
    <row r="237">
      <c r="A237" s="84"/>
      <c r="F237" s="81"/>
    </row>
    <row r="238">
      <c r="A238" s="84"/>
      <c r="F238" s="81"/>
    </row>
    <row r="239">
      <c r="A239" s="84"/>
      <c r="F239" s="81"/>
    </row>
    <row r="240">
      <c r="A240" s="84"/>
      <c r="F240" s="81"/>
    </row>
    <row r="241">
      <c r="A241" s="84"/>
      <c r="F241" s="81"/>
    </row>
    <row r="242">
      <c r="A242" s="84"/>
      <c r="F242" s="81"/>
    </row>
    <row r="243">
      <c r="A243" s="84"/>
      <c r="F243" s="81"/>
    </row>
    <row r="244">
      <c r="A244" s="84"/>
      <c r="F244" s="81"/>
    </row>
    <row r="245">
      <c r="A245" s="84"/>
      <c r="F245" s="81"/>
    </row>
    <row r="246">
      <c r="A246" s="84"/>
      <c r="F246" s="81"/>
    </row>
    <row r="247">
      <c r="A247" s="84"/>
      <c r="F247" s="81"/>
    </row>
    <row r="248">
      <c r="A248" s="84"/>
      <c r="F248" s="81"/>
    </row>
    <row r="249">
      <c r="A249" s="84"/>
      <c r="F249" s="81"/>
    </row>
    <row r="250">
      <c r="A250" s="84"/>
      <c r="F250" s="81"/>
    </row>
    <row r="251">
      <c r="A251" s="84"/>
      <c r="F251" s="81"/>
    </row>
    <row r="252">
      <c r="A252" s="84"/>
      <c r="F252" s="81"/>
    </row>
    <row r="253">
      <c r="A253" s="84"/>
      <c r="F253" s="81"/>
    </row>
    <row r="254">
      <c r="A254" s="84"/>
      <c r="F254" s="81"/>
    </row>
    <row r="255">
      <c r="A255" s="84"/>
      <c r="F255" s="81"/>
    </row>
    <row r="256">
      <c r="A256" s="84"/>
      <c r="F256" s="81"/>
    </row>
    <row r="257">
      <c r="A257" s="84"/>
      <c r="F257" s="81"/>
    </row>
    <row r="258">
      <c r="A258" s="84"/>
      <c r="F258" s="81"/>
    </row>
    <row r="259">
      <c r="A259" s="84"/>
      <c r="F259" s="81"/>
    </row>
    <row r="260">
      <c r="A260" s="84"/>
      <c r="F260" s="81"/>
    </row>
    <row r="261">
      <c r="A261" s="84"/>
      <c r="F261" s="81"/>
    </row>
    <row r="262">
      <c r="A262" s="84"/>
      <c r="F262" s="81"/>
    </row>
    <row r="263">
      <c r="A263" s="84"/>
      <c r="F263" s="81"/>
    </row>
    <row r="264">
      <c r="A264" s="84"/>
      <c r="F264" s="81"/>
    </row>
    <row r="265">
      <c r="A265" s="84"/>
      <c r="F265" s="81"/>
    </row>
    <row r="266">
      <c r="A266" s="84"/>
      <c r="F266" s="81"/>
    </row>
    <row r="267">
      <c r="A267" s="84"/>
      <c r="F267" s="81"/>
    </row>
    <row r="268">
      <c r="A268" s="84"/>
      <c r="F268" s="81"/>
    </row>
    <row r="269">
      <c r="A269" s="84"/>
      <c r="F269" s="81"/>
    </row>
    <row r="270">
      <c r="A270" s="84"/>
      <c r="F270" s="81"/>
    </row>
    <row r="271">
      <c r="A271" s="84"/>
      <c r="F271" s="81"/>
    </row>
    <row r="272">
      <c r="A272" s="84"/>
      <c r="F272" s="81"/>
    </row>
    <row r="273">
      <c r="A273" s="84"/>
      <c r="F273" s="81"/>
    </row>
    <row r="274">
      <c r="A274" s="84"/>
      <c r="F274" s="81"/>
    </row>
    <row r="275">
      <c r="A275" s="84"/>
      <c r="F275" s="81"/>
    </row>
    <row r="276">
      <c r="A276" s="84"/>
      <c r="F276" s="81"/>
    </row>
    <row r="277">
      <c r="A277" s="84"/>
      <c r="F277" s="81"/>
    </row>
    <row r="278">
      <c r="A278" s="84"/>
      <c r="F278" s="81"/>
    </row>
    <row r="279">
      <c r="A279" s="84"/>
      <c r="F279" s="81"/>
    </row>
    <row r="280">
      <c r="A280" s="84"/>
      <c r="F280" s="81"/>
    </row>
    <row r="281">
      <c r="A281" s="84"/>
      <c r="F281" s="81"/>
    </row>
    <row r="282">
      <c r="A282" s="84"/>
      <c r="F282" s="81"/>
    </row>
    <row r="283">
      <c r="A283" s="84"/>
      <c r="F283" s="81"/>
    </row>
    <row r="284">
      <c r="A284" s="84"/>
      <c r="F284" s="81"/>
    </row>
    <row r="285">
      <c r="A285" s="84"/>
      <c r="F285" s="81"/>
    </row>
    <row r="286">
      <c r="A286" s="84"/>
      <c r="F286" s="81"/>
    </row>
    <row r="287">
      <c r="A287" s="84"/>
      <c r="F287" s="81"/>
    </row>
    <row r="288">
      <c r="A288" s="84"/>
      <c r="F288" s="81"/>
    </row>
    <row r="289">
      <c r="A289" s="84"/>
      <c r="F289" s="81"/>
    </row>
    <row r="290">
      <c r="A290" s="84"/>
      <c r="F290" s="81"/>
    </row>
    <row r="291">
      <c r="A291" s="84"/>
      <c r="F291" s="81"/>
    </row>
    <row r="292">
      <c r="A292" s="84"/>
      <c r="F292" s="81"/>
    </row>
    <row r="293">
      <c r="A293" s="84"/>
      <c r="F293" s="81"/>
    </row>
    <row r="294">
      <c r="A294" s="84"/>
      <c r="F294" s="81"/>
    </row>
    <row r="295">
      <c r="A295" s="84"/>
      <c r="F295" s="81"/>
    </row>
    <row r="296">
      <c r="A296" s="84"/>
      <c r="F296" s="81"/>
    </row>
    <row r="297">
      <c r="A297" s="84"/>
      <c r="F297" s="81"/>
    </row>
    <row r="298">
      <c r="A298" s="84"/>
      <c r="F298" s="81"/>
    </row>
    <row r="299">
      <c r="A299" s="84"/>
      <c r="F299" s="81"/>
    </row>
    <row r="300">
      <c r="A300" s="84"/>
      <c r="F300" s="81"/>
    </row>
    <row r="301">
      <c r="A301" s="84"/>
      <c r="F301" s="81"/>
    </row>
    <row r="302">
      <c r="A302" s="84"/>
      <c r="F302" s="81"/>
    </row>
    <row r="303">
      <c r="A303" s="84"/>
      <c r="F303" s="81"/>
    </row>
    <row r="304">
      <c r="A304" s="84"/>
      <c r="F304" s="81"/>
    </row>
    <row r="305">
      <c r="A305" s="84"/>
      <c r="F305" s="81"/>
    </row>
    <row r="306">
      <c r="A306" s="84"/>
      <c r="F306" s="81"/>
    </row>
    <row r="307">
      <c r="A307" s="84"/>
      <c r="F307" s="81"/>
    </row>
    <row r="308">
      <c r="A308" s="84"/>
      <c r="F308" s="81"/>
    </row>
    <row r="309">
      <c r="A309" s="84"/>
      <c r="F309" s="81"/>
    </row>
    <row r="310">
      <c r="A310" s="84"/>
      <c r="F310" s="81"/>
    </row>
    <row r="311">
      <c r="A311" s="84"/>
      <c r="F311" s="81"/>
    </row>
    <row r="312">
      <c r="A312" s="84"/>
      <c r="F312" s="81"/>
    </row>
    <row r="313">
      <c r="A313" s="84"/>
      <c r="F313" s="81"/>
    </row>
    <row r="314">
      <c r="A314" s="84"/>
      <c r="F314" s="81"/>
    </row>
    <row r="315">
      <c r="A315" s="84"/>
      <c r="F315" s="81"/>
    </row>
    <row r="316">
      <c r="A316" s="84"/>
      <c r="F316" s="81"/>
    </row>
    <row r="317">
      <c r="A317" s="84"/>
      <c r="F317" s="81"/>
    </row>
    <row r="318">
      <c r="A318" s="84"/>
      <c r="F318" s="81"/>
    </row>
    <row r="319">
      <c r="A319" s="84"/>
      <c r="F319" s="81"/>
    </row>
    <row r="320">
      <c r="A320" s="84"/>
      <c r="F320" s="81"/>
    </row>
    <row r="321">
      <c r="A321" s="84"/>
      <c r="F321" s="81"/>
    </row>
    <row r="322">
      <c r="A322" s="84"/>
      <c r="F322" s="81"/>
    </row>
    <row r="323">
      <c r="A323" s="84"/>
      <c r="F323" s="81"/>
    </row>
    <row r="324">
      <c r="A324" s="84"/>
      <c r="F324" s="81"/>
    </row>
    <row r="325">
      <c r="A325" s="84"/>
      <c r="F325" s="81"/>
    </row>
    <row r="326">
      <c r="A326" s="84"/>
      <c r="F326" s="81"/>
    </row>
    <row r="327">
      <c r="A327" s="84"/>
      <c r="F327" s="81"/>
    </row>
    <row r="328">
      <c r="A328" s="84"/>
      <c r="F328" s="81"/>
    </row>
    <row r="329">
      <c r="A329" s="84"/>
      <c r="F329" s="81"/>
    </row>
    <row r="330">
      <c r="A330" s="84"/>
      <c r="F330" s="81"/>
    </row>
    <row r="331">
      <c r="A331" s="84"/>
      <c r="F331" s="81"/>
    </row>
    <row r="332">
      <c r="A332" s="84"/>
      <c r="F332" s="81"/>
    </row>
    <row r="333">
      <c r="A333" s="84"/>
      <c r="F333" s="81"/>
    </row>
    <row r="334">
      <c r="A334" s="84"/>
      <c r="F334" s="81"/>
    </row>
    <row r="335">
      <c r="A335" s="84"/>
      <c r="F335" s="81"/>
    </row>
    <row r="336">
      <c r="A336" s="84"/>
      <c r="F336" s="81"/>
    </row>
    <row r="337">
      <c r="A337" s="84"/>
      <c r="F337" s="81"/>
    </row>
    <row r="338">
      <c r="A338" s="84"/>
      <c r="F338" s="81"/>
    </row>
    <row r="339">
      <c r="A339" s="84"/>
      <c r="F339" s="81"/>
    </row>
    <row r="340">
      <c r="A340" s="84"/>
      <c r="F340" s="81"/>
    </row>
    <row r="341">
      <c r="A341" s="84"/>
      <c r="F341" s="81"/>
    </row>
    <row r="342">
      <c r="A342" s="84"/>
      <c r="F342" s="81"/>
    </row>
    <row r="343">
      <c r="A343" s="84"/>
      <c r="F343" s="81"/>
    </row>
    <row r="344">
      <c r="A344" s="84"/>
      <c r="F344" s="81"/>
    </row>
    <row r="345">
      <c r="A345" s="84"/>
      <c r="F345" s="81"/>
    </row>
    <row r="346">
      <c r="A346" s="84"/>
      <c r="F346" s="81"/>
    </row>
    <row r="347">
      <c r="A347" s="84"/>
      <c r="F347" s="81"/>
    </row>
    <row r="348">
      <c r="A348" s="84"/>
      <c r="F348" s="81"/>
    </row>
    <row r="349">
      <c r="A349" s="84"/>
      <c r="F349" s="81"/>
    </row>
    <row r="350">
      <c r="A350" s="84"/>
      <c r="F350" s="81"/>
    </row>
    <row r="351">
      <c r="A351" s="84"/>
      <c r="F351" s="81"/>
    </row>
    <row r="352">
      <c r="A352" s="84"/>
      <c r="F352" s="81"/>
    </row>
    <row r="353">
      <c r="A353" s="84"/>
      <c r="F353" s="81"/>
    </row>
    <row r="354">
      <c r="A354" s="84"/>
      <c r="F354" s="81"/>
    </row>
    <row r="355">
      <c r="A355" s="84"/>
      <c r="F355" s="81"/>
    </row>
    <row r="356">
      <c r="A356" s="84"/>
      <c r="F356" s="81"/>
    </row>
    <row r="357">
      <c r="A357" s="84"/>
      <c r="F357" s="81"/>
    </row>
    <row r="358">
      <c r="A358" s="84"/>
      <c r="F358" s="81"/>
    </row>
    <row r="359">
      <c r="A359" s="84"/>
      <c r="F359" s="81"/>
    </row>
    <row r="360">
      <c r="A360" s="84"/>
      <c r="F360" s="81"/>
    </row>
    <row r="361">
      <c r="A361" s="84"/>
      <c r="F361" s="81"/>
    </row>
    <row r="362">
      <c r="A362" s="84"/>
      <c r="F362" s="81"/>
    </row>
    <row r="363">
      <c r="A363" s="84"/>
      <c r="F363" s="81"/>
    </row>
    <row r="364">
      <c r="A364" s="84"/>
      <c r="F364" s="81"/>
    </row>
    <row r="365">
      <c r="A365" s="84"/>
      <c r="F365" s="81"/>
    </row>
    <row r="366">
      <c r="A366" s="84"/>
      <c r="F366" s="81"/>
    </row>
    <row r="367">
      <c r="A367" s="84"/>
      <c r="F367" s="81"/>
    </row>
    <row r="368">
      <c r="A368" s="84"/>
      <c r="F368" s="81"/>
    </row>
    <row r="369">
      <c r="A369" s="84"/>
      <c r="F369" s="81"/>
    </row>
    <row r="370">
      <c r="A370" s="84"/>
      <c r="F370" s="81"/>
    </row>
    <row r="371">
      <c r="A371" s="84"/>
      <c r="F371" s="81"/>
    </row>
    <row r="372">
      <c r="A372" s="84"/>
      <c r="F372" s="81"/>
    </row>
    <row r="373">
      <c r="A373" s="84"/>
      <c r="F373" s="81"/>
    </row>
    <row r="374">
      <c r="A374" s="84"/>
      <c r="F374" s="81"/>
    </row>
    <row r="375">
      <c r="A375" s="84"/>
      <c r="F375" s="81"/>
    </row>
    <row r="376">
      <c r="A376" s="84"/>
      <c r="F376" s="81"/>
    </row>
    <row r="377">
      <c r="A377" s="84"/>
      <c r="F377" s="81"/>
    </row>
    <row r="378">
      <c r="A378" s="84"/>
      <c r="F378" s="81"/>
    </row>
    <row r="379">
      <c r="A379" s="84"/>
      <c r="F379" s="81"/>
    </row>
    <row r="380">
      <c r="A380" s="84"/>
      <c r="F380" s="81"/>
    </row>
    <row r="381">
      <c r="A381" s="84"/>
      <c r="F381" s="81"/>
    </row>
    <row r="382">
      <c r="A382" s="84"/>
      <c r="F382" s="81"/>
    </row>
    <row r="383">
      <c r="A383" s="84"/>
      <c r="F383" s="81"/>
    </row>
    <row r="384">
      <c r="A384" s="84"/>
      <c r="F384" s="81"/>
    </row>
    <row r="385">
      <c r="A385" s="84"/>
      <c r="F385" s="81"/>
    </row>
    <row r="386">
      <c r="A386" s="84"/>
      <c r="F386" s="81"/>
    </row>
    <row r="387">
      <c r="A387" s="84"/>
      <c r="F387" s="81"/>
    </row>
    <row r="388">
      <c r="A388" s="84"/>
      <c r="F388" s="81"/>
    </row>
    <row r="389">
      <c r="A389" s="84"/>
      <c r="F389" s="81"/>
    </row>
    <row r="390">
      <c r="A390" s="84"/>
      <c r="F390" s="81"/>
    </row>
    <row r="391">
      <c r="A391" s="84"/>
      <c r="F391" s="81"/>
    </row>
    <row r="392">
      <c r="A392" s="84"/>
      <c r="F392" s="81"/>
    </row>
    <row r="393">
      <c r="A393" s="84"/>
      <c r="F393" s="81"/>
    </row>
    <row r="394">
      <c r="A394" s="84"/>
      <c r="F394" s="81"/>
    </row>
    <row r="395">
      <c r="A395" s="84"/>
      <c r="F395" s="81"/>
    </row>
    <row r="396">
      <c r="A396" s="84"/>
      <c r="F396" s="81"/>
    </row>
    <row r="397">
      <c r="A397" s="84"/>
      <c r="F397" s="81"/>
    </row>
    <row r="398">
      <c r="A398" s="84"/>
      <c r="F398" s="81"/>
    </row>
    <row r="399">
      <c r="A399" s="84"/>
      <c r="F399" s="81"/>
    </row>
    <row r="400">
      <c r="A400" s="84"/>
      <c r="F400" s="81"/>
    </row>
    <row r="401">
      <c r="A401" s="84"/>
      <c r="F401" s="81"/>
    </row>
    <row r="402">
      <c r="A402" s="84"/>
      <c r="F402" s="81"/>
    </row>
    <row r="403">
      <c r="A403" s="84"/>
      <c r="F403" s="81"/>
    </row>
    <row r="404">
      <c r="A404" s="84"/>
      <c r="F404" s="81"/>
    </row>
    <row r="405">
      <c r="A405" s="84"/>
      <c r="F405" s="81"/>
    </row>
    <row r="406">
      <c r="A406" s="84"/>
      <c r="F406" s="81"/>
    </row>
    <row r="407">
      <c r="A407" s="84"/>
      <c r="F407" s="81"/>
    </row>
    <row r="408">
      <c r="A408" s="84"/>
      <c r="F408" s="81"/>
    </row>
    <row r="409">
      <c r="A409" s="84"/>
      <c r="F409" s="81"/>
    </row>
    <row r="410">
      <c r="A410" s="84"/>
      <c r="F410" s="81"/>
    </row>
    <row r="411">
      <c r="A411" s="84"/>
      <c r="F411" s="81"/>
    </row>
    <row r="412">
      <c r="A412" s="84"/>
      <c r="F412" s="81"/>
    </row>
    <row r="413">
      <c r="A413" s="84"/>
      <c r="F413" s="81"/>
    </row>
    <row r="414">
      <c r="A414" s="84"/>
      <c r="F414" s="81"/>
    </row>
    <row r="415">
      <c r="A415" s="84"/>
      <c r="F415" s="81"/>
    </row>
    <row r="416">
      <c r="A416" s="84"/>
      <c r="F416" s="81"/>
    </row>
    <row r="417">
      <c r="A417" s="84"/>
      <c r="F417" s="81"/>
    </row>
    <row r="418">
      <c r="A418" s="84"/>
      <c r="F418" s="81"/>
    </row>
    <row r="419">
      <c r="A419" s="84"/>
      <c r="F419" s="81"/>
    </row>
    <row r="420">
      <c r="A420" s="84"/>
      <c r="F420" s="81"/>
    </row>
    <row r="421">
      <c r="A421" s="84"/>
      <c r="F421" s="81"/>
    </row>
    <row r="422">
      <c r="A422" s="84"/>
      <c r="F422" s="81"/>
    </row>
    <row r="423">
      <c r="A423" s="84"/>
      <c r="F423" s="81"/>
    </row>
    <row r="424">
      <c r="A424" s="84"/>
      <c r="F424" s="81"/>
    </row>
    <row r="425">
      <c r="A425" s="84"/>
      <c r="F425" s="81"/>
    </row>
    <row r="426">
      <c r="A426" s="84"/>
      <c r="F426" s="81"/>
    </row>
    <row r="427">
      <c r="A427" s="84"/>
      <c r="F427" s="81"/>
    </row>
    <row r="428">
      <c r="A428" s="84"/>
      <c r="F428" s="81"/>
    </row>
    <row r="429">
      <c r="A429" s="84"/>
      <c r="F429" s="81"/>
    </row>
    <row r="430">
      <c r="A430" s="84"/>
      <c r="F430" s="81"/>
    </row>
    <row r="431">
      <c r="A431" s="84"/>
      <c r="F431" s="81"/>
    </row>
    <row r="432">
      <c r="A432" s="84"/>
      <c r="F432" s="81"/>
    </row>
    <row r="433">
      <c r="A433" s="84"/>
      <c r="F433" s="81"/>
    </row>
    <row r="434">
      <c r="A434" s="84"/>
      <c r="F434" s="81"/>
    </row>
    <row r="435">
      <c r="A435" s="84"/>
      <c r="F435" s="81"/>
    </row>
    <row r="436">
      <c r="A436" s="84"/>
      <c r="F436" s="81"/>
    </row>
    <row r="437">
      <c r="A437" s="84"/>
      <c r="F437" s="81"/>
    </row>
    <row r="438">
      <c r="A438" s="84"/>
      <c r="F438" s="81"/>
    </row>
    <row r="439">
      <c r="A439" s="84"/>
      <c r="F439" s="81"/>
    </row>
    <row r="440">
      <c r="A440" s="84"/>
      <c r="F440" s="81"/>
    </row>
    <row r="441">
      <c r="A441" s="84"/>
      <c r="F441" s="81"/>
    </row>
    <row r="442">
      <c r="A442" s="84"/>
      <c r="F442" s="81"/>
    </row>
    <row r="443">
      <c r="A443" s="84"/>
      <c r="F443" s="81"/>
    </row>
    <row r="444">
      <c r="A444" s="84"/>
      <c r="F444" s="81"/>
    </row>
    <row r="445">
      <c r="A445" s="84"/>
      <c r="F445" s="81"/>
    </row>
    <row r="446">
      <c r="A446" s="84"/>
      <c r="F446" s="81"/>
    </row>
    <row r="447">
      <c r="A447" s="84"/>
      <c r="F447" s="81"/>
    </row>
    <row r="448">
      <c r="A448" s="84"/>
      <c r="F448" s="81"/>
    </row>
    <row r="449">
      <c r="A449" s="84"/>
      <c r="F449" s="81"/>
    </row>
    <row r="450">
      <c r="A450" s="84"/>
      <c r="F450" s="81"/>
    </row>
    <row r="451">
      <c r="A451" s="84"/>
      <c r="F451" s="81"/>
    </row>
    <row r="452">
      <c r="A452" s="84"/>
      <c r="F452" s="81"/>
    </row>
    <row r="453">
      <c r="A453" s="84"/>
      <c r="F453" s="81"/>
    </row>
    <row r="454">
      <c r="A454" s="84"/>
      <c r="F454" s="81"/>
    </row>
    <row r="455">
      <c r="A455" s="84"/>
      <c r="F455" s="81"/>
    </row>
    <row r="456">
      <c r="A456" s="84"/>
      <c r="F456" s="81"/>
    </row>
    <row r="457">
      <c r="A457" s="84"/>
      <c r="F457" s="81"/>
    </row>
    <row r="458">
      <c r="A458" s="84"/>
      <c r="F458" s="81"/>
    </row>
    <row r="459">
      <c r="A459" s="84"/>
      <c r="F459" s="81"/>
    </row>
    <row r="460">
      <c r="A460" s="84"/>
      <c r="F460" s="81"/>
    </row>
    <row r="461">
      <c r="A461" s="84"/>
      <c r="F461" s="81"/>
    </row>
    <row r="462">
      <c r="A462" s="84"/>
      <c r="F462" s="81"/>
    </row>
    <row r="463">
      <c r="A463" s="84"/>
      <c r="F463" s="81"/>
    </row>
    <row r="464">
      <c r="A464" s="84"/>
      <c r="F464" s="81"/>
    </row>
    <row r="465">
      <c r="A465" s="84"/>
      <c r="F465" s="81"/>
    </row>
    <row r="466">
      <c r="A466" s="84"/>
      <c r="F466" s="81"/>
    </row>
    <row r="467">
      <c r="A467" s="84"/>
      <c r="F467" s="81"/>
    </row>
    <row r="468">
      <c r="A468" s="84"/>
      <c r="F468" s="81"/>
    </row>
    <row r="469">
      <c r="A469" s="84"/>
      <c r="F469" s="81"/>
    </row>
    <row r="470">
      <c r="A470" s="84"/>
      <c r="F470" s="81"/>
    </row>
    <row r="471">
      <c r="A471" s="84"/>
      <c r="F471" s="81"/>
    </row>
    <row r="472">
      <c r="A472" s="84"/>
      <c r="F472" s="81"/>
    </row>
    <row r="473">
      <c r="A473" s="84"/>
      <c r="F473" s="81"/>
    </row>
    <row r="474">
      <c r="A474" s="84"/>
      <c r="F474" s="81"/>
    </row>
    <row r="475">
      <c r="A475" s="84"/>
      <c r="F475" s="81"/>
    </row>
    <row r="476">
      <c r="A476" s="84"/>
      <c r="F476" s="81"/>
    </row>
    <row r="477">
      <c r="A477" s="84"/>
      <c r="F477" s="81"/>
    </row>
    <row r="478">
      <c r="A478" s="84"/>
      <c r="F478" s="81"/>
    </row>
    <row r="479">
      <c r="A479" s="84"/>
      <c r="F479" s="81"/>
    </row>
    <row r="480">
      <c r="A480" s="84"/>
      <c r="F480" s="81"/>
    </row>
    <row r="481">
      <c r="A481" s="84"/>
      <c r="F481" s="81"/>
    </row>
    <row r="482">
      <c r="A482" s="84"/>
      <c r="F482" s="81"/>
    </row>
    <row r="483">
      <c r="A483" s="84"/>
      <c r="F483" s="81"/>
    </row>
    <row r="484">
      <c r="A484" s="84"/>
      <c r="F484" s="81"/>
    </row>
    <row r="485">
      <c r="A485" s="84"/>
      <c r="F485" s="81"/>
    </row>
    <row r="486">
      <c r="A486" s="84"/>
      <c r="F486" s="81"/>
    </row>
    <row r="487">
      <c r="A487" s="84"/>
      <c r="F487" s="81"/>
    </row>
    <row r="488">
      <c r="A488" s="84"/>
      <c r="F488" s="81"/>
    </row>
    <row r="489">
      <c r="A489" s="84"/>
      <c r="F489" s="81"/>
    </row>
    <row r="490">
      <c r="A490" s="84"/>
      <c r="F490" s="81"/>
    </row>
    <row r="491">
      <c r="A491" s="84"/>
      <c r="F491" s="81"/>
    </row>
    <row r="492">
      <c r="A492" s="84"/>
      <c r="F492" s="81"/>
    </row>
    <row r="493">
      <c r="A493" s="84"/>
      <c r="F493" s="81"/>
    </row>
    <row r="494">
      <c r="A494" s="84"/>
      <c r="F494" s="81"/>
    </row>
    <row r="495">
      <c r="A495" s="84"/>
      <c r="F495" s="81"/>
    </row>
    <row r="496">
      <c r="A496" s="84"/>
      <c r="F496" s="81"/>
    </row>
    <row r="497">
      <c r="A497" s="84"/>
      <c r="F497" s="81"/>
    </row>
    <row r="498">
      <c r="A498" s="84"/>
      <c r="F498" s="81"/>
    </row>
    <row r="499">
      <c r="A499" s="84"/>
      <c r="F499" s="81"/>
    </row>
    <row r="500">
      <c r="A500" s="84"/>
      <c r="F500" s="81"/>
    </row>
    <row r="501">
      <c r="A501" s="84"/>
      <c r="F501" s="81"/>
    </row>
    <row r="502">
      <c r="A502" s="84"/>
      <c r="F502" s="81"/>
    </row>
    <row r="503">
      <c r="A503" s="84"/>
      <c r="F503" s="81"/>
    </row>
    <row r="504">
      <c r="A504" s="84"/>
      <c r="F504" s="81"/>
    </row>
    <row r="505">
      <c r="A505" s="84"/>
      <c r="F505" s="81"/>
    </row>
    <row r="506">
      <c r="A506" s="84"/>
      <c r="F506" s="81"/>
    </row>
    <row r="507">
      <c r="A507" s="84"/>
      <c r="F507" s="81"/>
    </row>
    <row r="508">
      <c r="A508" s="84"/>
      <c r="F508" s="81"/>
    </row>
    <row r="509">
      <c r="A509" s="84"/>
      <c r="F509" s="81"/>
    </row>
    <row r="510">
      <c r="A510" s="84"/>
      <c r="F510" s="81"/>
    </row>
    <row r="511">
      <c r="A511" s="84"/>
      <c r="F511" s="81"/>
    </row>
    <row r="512">
      <c r="A512" s="84"/>
      <c r="F512" s="81"/>
    </row>
    <row r="513">
      <c r="A513" s="84"/>
      <c r="F513" s="81"/>
    </row>
    <row r="514">
      <c r="A514" s="84"/>
      <c r="F514" s="81"/>
    </row>
    <row r="515">
      <c r="A515" s="84"/>
      <c r="F515" s="81"/>
    </row>
    <row r="516">
      <c r="A516" s="84"/>
      <c r="F516" s="81"/>
    </row>
    <row r="517">
      <c r="A517" s="84"/>
      <c r="F517" s="81"/>
    </row>
    <row r="518">
      <c r="A518" s="84"/>
      <c r="F518" s="81"/>
    </row>
    <row r="519">
      <c r="A519" s="84"/>
      <c r="F519" s="81"/>
    </row>
    <row r="520">
      <c r="A520" s="84"/>
      <c r="F520" s="81"/>
    </row>
    <row r="521">
      <c r="A521" s="84"/>
      <c r="F521" s="81"/>
    </row>
    <row r="522">
      <c r="A522" s="84"/>
      <c r="F522" s="81"/>
    </row>
    <row r="523">
      <c r="A523" s="84"/>
      <c r="F523" s="81"/>
    </row>
    <row r="524">
      <c r="A524" s="84"/>
      <c r="F524" s="81"/>
    </row>
    <row r="525">
      <c r="A525" s="84"/>
      <c r="F525" s="81"/>
    </row>
    <row r="526">
      <c r="A526" s="84"/>
      <c r="F526" s="81"/>
    </row>
    <row r="527">
      <c r="A527" s="84"/>
      <c r="F527" s="81"/>
    </row>
    <row r="528">
      <c r="A528" s="84"/>
      <c r="F528" s="81"/>
    </row>
    <row r="529">
      <c r="A529" s="84"/>
      <c r="F529" s="81"/>
    </row>
    <row r="530">
      <c r="A530" s="84"/>
      <c r="F530" s="81"/>
    </row>
    <row r="531">
      <c r="A531" s="84"/>
      <c r="F531" s="81"/>
    </row>
    <row r="532">
      <c r="A532" s="84"/>
      <c r="F532" s="81"/>
    </row>
    <row r="533">
      <c r="A533" s="84"/>
      <c r="F533" s="81"/>
    </row>
    <row r="534">
      <c r="A534" s="84"/>
      <c r="F534" s="81"/>
    </row>
    <row r="535">
      <c r="A535" s="84"/>
      <c r="F535" s="81"/>
    </row>
    <row r="536">
      <c r="A536" s="84"/>
      <c r="F536" s="81"/>
    </row>
    <row r="537">
      <c r="A537" s="84"/>
      <c r="F537" s="81"/>
    </row>
    <row r="538">
      <c r="A538" s="84"/>
      <c r="F538" s="81"/>
    </row>
    <row r="539">
      <c r="A539" s="84"/>
      <c r="F539" s="81"/>
    </row>
    <row r="540">
      <c r="A540" s="84"/>
      <c r="F540" s="81"/>
    </row>
    <row r="541">
      <c r="A541" s="84"/>
      <c r="F541" s="81"/>
    </row>
    <row r="542">
      <c r="A542" s="84"/>
      <c r="F542" s="81"/>
    </row>
    <row r="543">
      <c r="A543" s="84"/>
      <c r="F543" s="81"/>
    </row>
    <row r="544">
      <c r="A544" s="84"/>
      <c r="F544" s="81"/>
    </row>
    <row r="545">
      <c r="A545" s="84"/>
      <c r="F545" s="81"/>
    </row>
    <row r="546">
      <c r="A546" s="84"/>
      <c r="F546" s="81"/>
    </row>
    <row r="547">
      <c r="A547" s="84"/>
      <c r="F547" s="81"/>
    </row>
    <row r="548">
      <c r="A548" s="84"/>
      <c r="F548" s="81"/>
    </row>
    <row r="549">
      <c r="A549" s="84"/>
      <c r="F549" s="81"/>
    </row>
    <row r="550">
      <c r="A550" s="84"/>
      <c r="F550" s="81"/>
    </row>
    <row r="551">
      <c r="A551" s="84"/>
      <c r="F551" s="81"/>
    </row>
    <row r="552">
      <c r="A552" s="84"/>
      <c r="F552" s="81"/>
    </row>
    <row r="553">
      <c r="A553" s="84"/>
      <c r="F553" s="81"/>
    </row>
    <row r="554">
      <c r="A554" s="84"/>
      <c r="F554" s="81"/>
    </row>
    <row r="555">
      <c r="A555" s="84"/>
      <c r="F555" s="81"/>
    </row>
    <row r="556">
      <c r="A556" s="84"/>
      <c r="F556" s="81"/>
    </row>
    <row r="557">
      <c r="A557" s="84"/>
      <c r="F557" s="81"/>
    </row>
    <row r="558">
      <c r="A558" s="84"/>
      <c r="F558" s="81"/>
    </row>
    <row r="559">
      <c r="A559" s="84"/>
      <c r="F559" s="81"/>
    </row>
    <row r="560">
      <c r="A560" s="84"/>
      <c r="F560" s="81"/>
    </row>
    <row r="561">
      <c r="A561" s="84"/>
      <c r="F561" s="81"/>
    </row>
    <row r="562">
      <c r="A562" s="84"/>
      <c r="F562" s="81"/>
    </row>
    <row r="563">
      <c r="A563" s="84"/>
      <c r="F563" s="81"/>
    </row>
    <row r="564">
      <c r="A564" s="84"/>
      <c r="F564" s="81"/>
    </row>
    <row r="565">
      <c r="A565" s="84"/>
      <c r="F565" s="81"/>
    </row>
    <row r="566">
      <c r="A566" s="84"/>
      <c r="F566" s="81"/>
    </row>
    <row r="567">
      <c r="A567" s="84"/>
      <c r="F567" s="81"/>
    </row>
    <row r="568">
      <c r="A568" s="84"/>
      <c r="F568" s="81"/>
    </row>
    <row r="569">
      <c r="A569" s="84"/>
      <c r="F569" s="81"/>
    </row>
    <row r="570">
      <c r="A570" s="84"/>
      <c r="F570" s="81"/>
    </row>
    <row r="571">
      <c r="A571" s="84"/>
      <c r="F571" s="81"/>
    </row>
    <row r="572">
      <c r="A572" s="84"/>
      <c r="F572" s="81"/>
    </row>
    <row r="573">
      <c r="A573" s="84"/>
      <c r="F573" s="81"/>
    </row>
    <row r="574">
      <c r="A574" s="84"/>
      <c r="F574" s="81"/>
    </row>
    <row r="575">
      <c r="A575" s="84"/>
      <c r="F575" s="81"/>
    </row>
    <row r="576">
      <c r="A576" s="84"/>
      <c r="F576" s="81"/>
    </row>
    <row r="577">
      <c r="A577" s="84"/>
      <c r="F577" s="81"/>
    </row>
    <row r="578">
      <c r="A578" s="84"/>
      <c r="F578" s="81"/>
    </row>
    <row r="579">
      <c r="A579" s="84"/>
      <c r="F579" s="81"/>
    </row>
    <row r="580">
      <c r="A580" s="84"/>
      <c r="F580" s="81"/>
    </row>
    <row r="581">
      <c r="A581" s="84"/>
      <c r="F581" s="81"/>
    </row>
    <row r="582">
      <c r="A582" s="84"/>
      <c r="F582" s="81"/>
    </row>
    <row r="583">
      <c r="A583" s="84"/>
      <c r="F583" s="81"/>
    </row>
    <row r="584">
      <c r="A584" s="84"/>
      <c r="F584" s="81"/>
    </row>
    <row r="585">
      <c r="A585" s="84"/>
      <c r="F585" s="81"/>
    </row>
    <row r="586">
      <c r="A586" s="84"/>
      <c r="F586" s="81"/>
    </row>
    <row r="587">
      <c r="A587" s="84"/>
      <c r="F587" s="81"/>
    </row>
    <row r="588">
      <c r="A588" s="84"/>
      <c r="F588" s="81"/>
    </row>
    <row r="589">
      <c r="A589" s="84"/>
      <c r="F589" s="81"/>
    </row>
    <row r="590">
      <c r="A590" s="84"/>
      <c r="F590" s="81"/>
    </row>
    <row r="591">
      <c r="A591" s="84"/>
      <c r="F591" s="81"/>
    </row>
    <row r="592">
      <c r="A592" s="84"/>
      <c r="F592" s="81"/>
    </row>
    <row r="593">
      <c r="A593" s="84"/>
      <c r="F593" s="81"/>
    </row>
    <row r="594">
      <c r="A594" s="84"/>
      <c r="F594" s="81"/>
    </row>
    <row r="595">
      <c r="A595" s="84"/>
      <c r="F595" s="81"/>
    </row>
    <row r="596">
      <c r="A596" s="84"/>
      <c r="F596" s="81"/>
    </row>
    <row r="597">
      <c r="A597" s="84"/>
      <c r="F597" s="81"/>
    </row>
    <row r="598">
      <c r="A598" s="84"/>
      <c r="F598" s="81"/>
    </row>
    <row r="599">
      <c r="A599" s="84"/>
      <c r="F599" s="81"/>
    </row>
    <row r="600">
      <c r="A600" s="84"/>
      <c r="F600" s="81"/>
    </row>
    <row r="601">
      <c r="A601" s="84"/>
      <c r="F601" s="81"/>
    </row>
    <row r="602">
      <c r="A602" s="84"/>
      <c r="F602" s="81"/>
    </row>
    <row r="603">
      <c r="A603" s="84"/>
      <c r="F603" s="81"/>
    </row>
    <row r="604">
      <c r="A604" s="84"/>
      <c r="F604" s="81"/>
    </row>
    <row r="605">
      <c r="A605" s="84"/>
      <c r="F605" s="81"/>
    </row>
    <row r="606">
      <c r="A606" s="84"/>
      <c r="F606" s="81"/>
    </row>
    <row r="607">
      <c r="A607" s="84"/>
      <c r="F607" s="81"/>
    </row>
    <row r="608">
      <c r="A608" s="84"/>
      <c r="F608" s="81"/>
    </row>
    <row r="609">
      <c r="A609" s="84"/>
      <c r="F609" s="81"/>
    </row>
    <row r="610">
      <c r="A610" s="84"/>
      <c r="F610" s="81"/>
    </row>
    <row r="611">
      <c r="A611" s="84"/>
      <c r="F611" s="81"/>
    </row>
    <row r="612">
      <c r="A612" s="84"/>
      <c r="F612" s="81"/>
    </row>
    <row r="613">
      <c r="A613" s="84"/>
      <c r="F613" s="81"/>
    </row>
    <row r="614">
      <c r="A614" s="84"/>
      <c r="F614" s="81"/>
    </row>
    <row r="615">
      <c r="A615" s="84"/>
      <c r="F615" s="81"/>
    </row>
    <row r="616">
      <c r="A616" s="84"/>
      <c r="F616" s="81"/>
    </row>
    <row r="617">
      <c r="A617" s="84"/>
      <c r="F617" s="81"/>
    </row>
    <row r="618">
      <c r="A618" s="84"/>
      <c r="F618" s="81"/>
    </row>
    <row r="619">
      <c r="A619" s="84"/>
      <c r="F619" s="81"/>
    </row>
    <row r="620">
      <c r="A620" s="84"/>
      <c r="F620" s="81"/>
    </row>
    <row r="621">
      <c r="A621" s="84"/>
      <c r="F621" s="81"/>
    </row>
    <row r="622">
      <c r="A622" s="84"/>
      <c r="F622" s="81"/>
    </row>
    <row r="623">
      <c r="A623" s="84"/>
      <c r="F623" s="81"/>
    </row>
    <row r="624">
      <c r="A624" s="84"/>
      <c r="F624" s="81"/>
    </row>
    <row r="625">
      <c r="A625" s="84"/>
      <c r="F625" s="81"/>
    </row>
    <row r="626">
      <c r="A626" s="84"/>
      <c r="F626" s="81"/>
    </row>
    <row r="627">
      <c r="A627" s="84"/>
      <c r="F627" s="81"/>
    </row>
    <row r="628">
      <c r="A628" s="84"/>
      <c r="F628" s="81"/>
    </row>
    <row r="629">
      <c r="A629" s="84"/>
      <c r="F629" s="81"/>
    </row>
    <row r="630">
      <c r="A630" s="84"/>
      <c r="F630" s="81"/>
    </row>
    <row r="631">
      <c r="A631" s="84"/>
      <c r="F631" s="81"/>
    </row>
    <row r="632">
      <c r="A632" s="84"/>
      <c r="F632" s="81"/>
    </row>
    <row r="633">
      <c r="A633" s="84"/>
      <c r="F633" s="81"/>
    </row>
    <row r="634">
      <c r="A634" s="84"/>
      <c r="F634" s="81"/>
    </row>
    <row r="635">
      <c r="A635" s="84"/>
      <c r="F635" s="81"/>
    </row>
    <row r="636">
      <c r="A636" s="84"/>
      <c r="F636" s="81"/>
    </row>
    <row r="637">
      <c r="A637" s="84"/>
      <c r="F637" s="81"/>
    </row>
    <row r="638">
      <c r="A638" s="84"/>
      <c r="F638" s="81"/>
    </row>
    <row r="639">
      <c r="A639" s="84"/>
      <c r="F639" s="81"/>
    </row>
    <row r="640">
      <c r="A640" s="84"/>
      <c r="F640" s="81"/>
    </row>
    <row r="641">
      <c r="A641" s="84"/>
      <c r="F641" s="81"/>
    </row>
    <row r="642">
      <c r="A642" s="84"/>
      <c r="F642" s="81"/>
    </row>
    <row r="643">
      <c r="A643" s="84"/>
      <c r="F643" s="81"/>
    </row>
    <row r="644">
      <c r="A644" s="84"/>
      <c r="F644" s="81"/>
    </row>
    <row r="645">
      <c r="A645" s="84"/>
      <c r="F645" s="81"/>
    </row>
    <row r="646">
      <c r="A646" s="84"/>
      <c r="F646" s="81"/>
    </row>
    <row r="647">
      <c r="A647" s="84"/>
      <c r="F647" s="81"/>
    </row>
    <row r="648">
      <c r="A648" s="84"/>
      <c r="F648" s="81"/>
    </row>
    <row r="649">
      <c r="A649" s="84"/>
      <c r="F649" s="81"/>
    </row>
    <row r="650">
      <c r="A650" s="84"/>
      <c r="F650" s="81"/>
    </row>
    <row r="651">
      <c r="A651" s="84"/>
      <c r="F651" s="81"/>
    </row>
    <row r="652">
      <c r="A652" s="84"/>
      <c r="F652" s="81"/>
    </row>
    <row r="653">
      <c r="A653" s="84"/>
      <c r="F653" s="81"/>
    </row>
    <row r="654">
      <c r="A654" s="84"/>
      <c r="F654" s="81"/>
    </row>
    <row r="655">
      <c r="A655" s="84"/>
      <c r="F655" s="81"/>
    </row>
    <row r="656">
      <c r="A656" s="84"/>
      <c r="F656" s="81"/>
    </row>
    <row r="657">
      <c r="A657" s="84"/>
      <c r="F657" s="81"/>
    </row>
    <row r="658">
      <c r="A658" s="84"/>
      <c r="F658" s="81"/>
    </row>
    <row r="659">
      <c r="A659" s="84"/>
      <c r="F659" s="81"/>
    </row>
    <row r="660">
      <c r="A660" s="84"/>
      <c r="F660" s="81"/>
    </row>
    <row r="661">
      <c r="A661" s="84"/>
      <c r="F661" s="81"/>
    </row>
    <row r="662">
      <c r="A662" s="84"/>
      <c r="F662" s="81"/>
    </row>
    <row r="663">
      <c r="A663" s="84"/>
      <c r="F663" s="81"/>
    </row>
    <row r="664">
      <c r="A664" s="84"/>
      <c r="F664" s="81"/>
    </row>
    <row r="665">
      <c r="A665" s="84"/>
      <c r="F665" s="81"/>
    </row>
    <row r="666">
      <c r="A666" s="84"/>
      <c r="F666" s="81"/>
    </row>
    <row r="667">
      <c r="A667" s="84"/>
      <c r="F667" s="81"/>
    </row>
    <row r="668">
      <c r="A668" s="84"/>
      <c r="F668" s="81"/>
    </row>
    <row r="669">
      <c r="A669" s="84"/>
      <c r="F669" s="81"/>
    </row>
    <row r="670">
      <c r="A670" s="84"/>
      <c r="F670" s="81"/>
    </row>
    <row r="671">
      <c r="A671" s="84"/>
      <c r="F671" s="81"/>
    </row>
    <row r="672">
      <c r="A672" s="84"/>
      <c r="F672" s="81"/>
    </row>
    <row r="673">
      <c r="A673" s="84"/>
      <c r="F673" s="81"/>
    </row>
    <row r="674">
      <c r="A674" s="84"/>
      <c r="F674" s="81"/>
    </row>
    <row r="675">
      <c r="A675" s="84"/>
      <c r="F675" s="81"/>
    </row>
    <row r="676">
      <c r="A676" s="84"/>
      <c r="F676" s="81"/>
    </row>
    <row r="677">
      <c r="A677" s="84"/>
      <c r="F677" s="81"/>
    </row>
    <row r="678">
      <c r="A678" s="84"/>
      <c r="F678" s="81"/>
    </row>
    <row r="679">
      <c r="A679" s="84"/>
      <c r="F679" s="81"/>
    </row>
    <row r="680">
      <c r="A680" s="84"/>
      <c r="F680" s="81"/>
    </row>
    <row r="681">
      <c r="A681" s="84"/>
      <c r="F681" s="81"/>
    </row>
    <row r="682">
      <c r="A682" s="84"/>
      <c r="F682" s="81"/>
    </row>
    <row r="683">
      <c r="A683" s="84"/>
      <c r="F683" s="81"/>
    </row>
    <row r="684">
      <c r="A684" s="84"/>
      <c r="F684" s="81"/>
    </row>
    <row r="685">
      <c r="A685" s="84"/>
      <c r="F685" s="81"/>
    </row>
    <row r="686">
      <c r="A686" s="84"/>
      <c r="F686" s="81"/>
    </row>
    <row r="687">
      <c r="A687" s="84"/>
      <c r="F687" s="81"/>
    </row>
    <row r="688">
      <c r="A688" s="84"/>
      <c r="F688" s="81"/>
    </row>
    <row r="689">
      <c r="A689" s="84"/>
      <c r="F689" s="81"/>
    </row>
    <row r="690">
      <c r="A690" s="84"/>
      <c r="F690" s="81"/>
    </row>
    <row r="691">
      <c r="A691" s="84"/>
      <c r="F691" s="81"/>
    </row>
    <row r="692">
      <c r="A692" s="84"/>
      <c r="F692" s="81"/>
    </row>
    <row r="693">
      <c r="A693" s="84"/>
      <c r="F693" s="81"/>
    </row>
    <row r="694">
      <c r="A694" s="84"/>
      <c r="F694" s="81"/>
    </row>
    <row r="695">
      <c r="A695" s="84"/>
      <c r="F695" s="81"/>
    </row>
    <row r="696">
      <c r="A696" s="84"/>
      <c r="F696" s="81"/>
    </row>
    <row r="697">
      <c r="A697" s="84"/>
      <c r="F697" s="81"/>
    </row>
    <row r="698">
      <c r="A698" s="84"/>
      <c r="F698" s="81"/>
    </row>
    <row r="699">
      <c r="A699" s="84"/>
      <c r="F699" s="81"/>
    </row>
    <row r="700">
      <c r="A700" s="84"/>
      <c r="F700" s="81"/>
    </row>
    <row r="701">
      <c r="A701" s="84"/>
      <c r="F701" s="81"/>
    </row>
    <row r="702">
      <c r="A702" s="84"/>
      <c r="F702" s="81"/>
    </row>
    <row r="703">
      <c r="A703" s="84"/>
      <c r="F703" s="81"/>
    </row>
    <row r="704">
      <c r="A704" s="84"/>
      <c r="F704" s="81"/>
    </row>
    <row r="705">
      <c r="A705" s="84"/>
      <c r="F705" s="81"/>
    </row>
    <row r="706">
      <c r="A706" s="84"/>
      <c r="F706" s="81"/>
    </row>
    <row r="707">
      <c r="A707" s="84"/>
      <c r="F707" s="81"/>
    </row>
    <row r="708">
      <c r="A708" s="84"/>
      <c r="F708" s="81"/>
    </row>
    <row r="709">
      <c r="A709" s="84"/>
      <c r="F709" s="81"/>
    </row>
    <row r="710">
      <c r="A710" s="84"/>
      <c r="F710" s="81"/>
    </row>
    <row r="711">
      <c r="A711" s="84"/>
      <c r="F711" s="81"/>
    </row>
    <row r="712">
      <c r="A712" s="84"/>
      <c r="F712" s="81"/>
    </row>
    <row r="713">
      <c r="A713" s="84"/>
      <c r="F713" s="81"/>
    </row>
    <row r="714">
      <c r="A714" s="84"/>
      <c r="F714" s="81"/>
    </row>
    <row r="715">
      <c r="A715" s="84"/>
      <c r="F715" s="81"/>
    </row>
    <row r="716">
      <c r="A716" s="84"/>
      <c r="F716" s="81"/>
    </row>
    <row r="717">
      <c r="A717" s="84"/>
      <c r="F717" s="81"/>
    </row>
    <row r="718">
      <c r="A718" s="84"/>
      <c r="F718" s="81"/>
    </row>
    <row r="719">
      <c r="A719" s="84"/>
      <c r="F719" s="81"/>
    </row>
    <row r="720">
      <c r="A720" s="84"/>
      <c r="F720" s="81"/>
    </row>
    <row r="721">
      <c r="A721" s="84"/>
      <c r="F721" s="81"/>
    </row>
    <row r="722">
      <c r="A722" s="84"/>
      <c r="F722" s="81"/>
    </row>
    <row r="723">
      <c r="A723" s="84"/>
      <c r="F723" s="81"/>
    </row>
    <row r="724">
      <c r="A724" s="84"/>
      <c r="F724" s="81"/>
    </row>
    <row r="725">
      <c r="A725" s="84"/>
      <c r="F725" s="81"/>
    </row>
    <row r="726">
      <c r="A726" s="84"/>
      <c r="F726" s="81"/>
    </row>
    <row r="727">
      <c r="A727" s="84"/>
      <c r="F727" s="81"/>
    </row>
    <row r="728">
      <c r="A728" s="84"/>
      <c r="F728" s="81"/>
    </row>
    <row r="729">
      <c r="A729" s="84"/>
      <c r="F729" s="81"/>
    </row>
    <row r="730">
      <c r="A730" s="84"/>
      <c r="F730" s="81"/>
    </row>
    <row r="731">
      <c r="A731" s="84"/>
      <c r="F731" s="81"/>
    </row>
    <row r="732">
      <c r="A732" s="84"/>
      <c r="F732" s="81"/>
    </row>
    <row r="733">
      <c r="A733" s="84"/>
      <c r="F733" s="81"/>
    </row>
    <row r="734">
      <c r="A734" s="84"/>
      <c r="F734" s="81"/>
    </row>
    <row r="735">
      <c r="A735" s="84"/>
      <c r="F735" s="81"/>
    </row>
    <row r="736">
      <c r="A736" s="84"/>
      <c r="F736" s="81"/>
    </row>
    <row r="737">
      <c r="A737" s="84"/>
      <c r="F737" s="81"/>
    </row>
    <row r="738">
      <c r="A738" s="84"/>
      <c r="F738" s="81"/>
    </row>
    <row r="739">
      <c r="A739" s="84"/>
      <c r="F739" s="81"/>
    </row>
    <row r="740">
      <c r="A740" s="84"/>
      <c r="F740" s="81"/>
    </row>
    <row r="741">
      <c r="A741" s="84"/>
      <c r="F741" s="81"/>
    </row>
    <row r="742">
      <c r="A742" s="84"/>
      <c r="F742" s="81"/>
    </row>
    <row r="743">
      <c r="A743" s="84"/>
      <c r="F743" s="81"/>
    </row>
    <row r="744">
      <c r="A744" s="84"/>
      <c r="F744" s="81"/>
    </row>
    <row r="745">
      <c r="A745" s="84"/>
      <c r="F745" s="81"/>
    </row>
    <row r="746">
      <c r="A746" s="84"/>
      <c r="F746" s="81"/>
    </row>
    <row r="747">
      <c r="A747" s="84"/>
      <c r="F747" s="81"/>
    </row>
    <row r="748">
      <c r="A748" s="84"/>
      <c r="F748" s="81"/>
    </row>
    <row r="749">
      <c r="A749" s="84"/>
      <c r="F749" s="81"/>
    </row>
    <row r="750">
      <c r="A750" s="84"/>
      <c r="F750" s="81"/>
    </row>
    <row r="751">
      <c r="A751" s="84"/>
      <c r="F751" s="81"/>
    </row>
    <row r="752">
      <c r="A752" s="84"/>
      <c r="F752" s="81"/>
    </row>
    <row r="753">
      <c r="A753" s="84"/>
      <c r="F753" s="81"/>
    </row>
    <row r="754">
      <c r="A754" s="84"/>
      <c r="F754" s="81"/>
    </row>
    <row r="755">
      <c r="A755" s="84"/>
      <c r="F755" s="81"/>
    </row>
    <row r="756">
      <c r="A756" s="84"/>
      <c r="F756" s="81"/>
    </row>
    <row r="757">
      <c r="A757" s="84"/>
      <c r="F757" s="81"/>
    </row>
    <row r="758">
      <c r="A758" s="84"/>
      <c r="F758" s="81"/>
    </row>
    <row r="759">
      <c r="A759" s="84"/>
      <c r="F759" s="81"/>
    </row>
    <row r="760">
      <c r="A760" s="84"/>
      <c r="F760" s="81"/>
    </row>
    <row r="761">
      <c r="A761" s="84"/>
      <c r="F761" s="81"/>
    </row>
    <row r="762">
      <c r="A762" s="84"/>
      <c r="F762" s="81"/>
    </row>
    <row r="763">
      <c r="A763" s="84"/>
      <c r="F763" s="81"/>
    </row>
    <row r="764">
      <c r="A764" s="84"/>
      <c r="F764" s="81"/>
    </row>
    <row r="765">
      <c r="A765" s="84"/>
      <c r="F765" s="81"/>
    </row>
    <row r="766">
      <c r="A766" s="84"/>
      <c r="F766" s="81"/>
    </row>
    <row r="767">
      <c r="A767" s="84"/>
      <c r="F767" s="81"/>
    </row>
    <row r="768">
      <c r="A768" s="84"/>
      <c r="F768" s="81"/>
    </row>
    <row r="769">
      <c r="A769" s="84"/>
      <c r="F769" s="81"/>
    </row>
    <row r="770">
      <c r="A770" s="84"/>
      <c r="F770" s="81"/>
    </row>
    <row r="771">
      <c r="A771" s="84"/>
      <c r="F771" s="81"/>
    </row>
    <row r="772">
      <c r="A772" s="84"/>
      <c r="F772" s="81"/>
    </row>
    <row r="773">
      <c r="A773" s="84"/>
      <c r="F773" s="81"/>
    </row>
    <row r="774">
      <c r="A774" s="84"/>
      <c r="F774" s="81"/>
    </row>
    <row r="775">
      <c r="A775" s="84"/>
      <c r="F775" s="81"/>
    </row>
    <row r="776">
      <c r="A776" s="84"/>
      <c r="F776" s="81"/>
    </row>
    <row r="777">
      <c r="A777" s="84"/>
      <c r="F777" s="81"/>
    </row>
    <row r="778">
      <c r="A778" s="84"/>
      <c r="F778" s="81"/>
    </row>
    <row r="779">
      <c r="A779" s="84"/>
      <c r="F779" s="81"/>
    </row>
    <row r="780">
      <c r="A780" s="84"/>
      <c r="F780" s="81"/>
    </row>
    <row r="781">
      <c r="A781" s="84"/>
      <c r="F781" s="81"/>
    </row>
    <row r="782">
      <c r="A782" s="84"/>
      <c r="F782" s="81"/>
    </row>
    <row r="783">
      <c r="A783" s="84"/>
      <c r="F783" s="81"/>
    </row>
    <row r="784">
      <c r="A784" s="84"/>
      <c r="F784" s="81"/>
    </row>
    <row r="785">
      <c r="A785" s="84"/>
      <c r="F785" s="81"/>
    </row>
    <row r="786">
      <c r="A786" s="84"/>
      <c r="F786" s="81"/>
    </row>
    <row r="787">
      <c r="A787" s="84"/>
      <c r="F787" s="81"/>
    </row>
    <row r="788">
      <c r="A788" s="84"/>
      <c r="F788" s="81"/>
    </row>
    <row r="789">
      <c r="A789" s="84"/>
      <c r="F789" s="81"/>
    </row>
    <row r="790">
      <c r="A790" s="84"/>
      <c r="F790" s="81"/>
    </row>
    <row r="791">
      <c r="A791" s="84"/>
      <c r="F791" s="81"/>
    </row>
    <row r="792">
      <c r="A792" s="84"/>
      <c r="F792" s="81"/>
    </row>
    <row r="793">
      <c r="A793" s="84"/>
      <c r="F793" s="81"/>
    </row>
    <row r="794">
      <c r="A794" s="84"/>
      <c r="F794" s="81"/>
    </row>
    <row r="795">
      <c r="A795" s="84"/>
      <c r="F795" s="81"/>
    </row>
    <row r="796">
      <c r="A796" s="84"/>
      <c r="F796" s="81"/>
    </row>
    <row r="797">
      <c r="A797" s="84"/>
      <c r="F797" s="81"/>
    </row>
    <row r="798">
      <c r="A798" s="84"/>
      <c r="F798" s="81"/>
    </row>
    <row r="799">
      <c r="A799" s="84"/>
      <c r="F799" s="81"/>
    </row>
    <row r="800">
      <c r="A800" s="84"/>
      <c r="F800" s="81"/>
    </row>
    <row r="801">
      <c r="A801" s="84"/>
      <c r="F801" s="81"/>
    </row>
    <row r="802">
      <c r="A802" s="84"/>
      <c r="F802" s="81"/>
    </row>
    <row r="803">
      <c r="A803" s="84"/>
      <c r="F803" s="81"/>
    </row>
    <row r="804">
      <c r="A804" s="84"/>
      <c r="F804" s="81"/>
    </row>
    <row r="805">
      <c r="A805" s="84"/>
      <c r="F805" s="81"/>
    </row>
    <row r="806">
      <c r="A806" s="84"/>
      <c r="F806" s="81"/>
    </row>
    <row r="807">
      <c r="A807" s="84"/>
      <c r="F807" s="81"/>
    </row>
    <row r="808">
      <c r="A808" s="84"/>
      <c r="F808" s="81"/>
    </row>
    <row r="809">
      <c r="A809" s="84"/>
      <c r="F809" s="81"/>
    </row>
    <row r="810">
      <c r="A810" s="84"/>
      <c r="F810" s="81"/>
    </row>
    <row r="811">
      <c r="A811" s="84"/>
      <c r="F811" s="81"/>
    </row>
    <row r="812">
      <c r="A812" s="84"/>
      <c r="F812" s="81"/>
    </row>
    <row r="813">
      <c r="A813" s="84"/>
      <c r="F813" s="81"/>
    </row>
    <row r="814">
      <c r="A814" s="84"/>
      <c r="F814" s="81"/>
    </row>
    <row r="815">
      <c r="A815" s="84"/>
      <c r="F815" s="81"/>
    </row>
    <row r="816">
      <c r="A816" s="84"/>
      <c r="F816" s="81"/>
    </row>
    <row r="817">
      <c r="A817" s="84"/>
      <c r="F817" s="81"/>
    </row>
    <row r="818">
      <c r="A818" s="84"/>
      <c r="F818" s="81"/>
    </row>
    <row r="819">
      <c r="A819" s="84"/>
      <c r="F819" s="81"/>
    </row>
    <row r="820">
      <c r="A820" s="84"/>
      <c r="F820" s="81"/>
    </row>
    <row r="821">
      <c r="A821" s="84"/>
      <c r="F821" s="81"/>
    </row>
    <row r="822">
      <c r="A822" s="84"/>
      <c r="F822" s="81"/>
    </row>
    <row r="823">
      <c r="A823" s="84"/>
      <c r="F823" s="81"/>
    </row>
    <row r="824">
      <c r="A824" s="84"/>
      <c r="F824" s="81"/>
    </row>
    <row r="825">
      <c r="A825" s="84"/>
      <c r="F825" s="81"/>
    </row>
    <row r="826">
      <c r="A826" s="84"/>
      <c r="F826" s="81"/>
    </row>
    <row r="827">
      <c r="A827" s="84"/>
      <c r="F827" s="81"/>
    </row>
    <row r="828">
      <c r="A828" s="84"/>
      <c r="F828" s="81"/>
    </row>
    <row r="829">
      <c r="A829" s="84"/>
      <c r="F829" s="81"/>
    </row>
    <row r="830">
      <c r="A830" s="84"/>
      <c r="F830" s="81"/>
    </row>
    <row r="831">
      <c r="A831" s="84"/>
      <c r="F831" s="81"/>
    </row>
    <row r="832">
      <c r="A832" s="84"/>
      <c r="F832" s="81"/>
    </row>
    <row r="833">
      <c r="A833" s="84"/>
      <c r="F833" s="81"/>
    </row>
    <row r="834">
      <c r="A834" s="84"/>
      <c r="F834" s="81"/>
    </row>
    <row r="835">
      <c r="A835" s="84"/>
      <c r="F835" s="81"/>
    </row>
    <row r="836">
      <c r="A836" s="84"/>
      <c r="F836" s="81"/>
    </row>
    <row r="837">
      <c r="A837" s="84"/>
      <c r="F837" s="81"/>
    </row>
    <row r="838">
      <c r="A838" s="84"/>
      <c r="F838" s="81"/>
    </row>
    <row r="839">
      <c r="A839" s="84"/>
      <c r="F839" s="81"/>
    </row>
    <row r="840">
      <c r="A840" s="84"/>
      <c r="F840" s="81"/>
    </row>
    <row r="841">
      <c r="A841" s="84"/>
      <c r="F841" s="81"/>
    </row>
    <row r="842">
      <c r="A842" s="84"/>
      <c r="F842" s="81"/>
    </row>
    <row r="843">
      <c r="A843" s="84"/>
      <c r="F843" s="81"/>
    </row>
    <row r="844">
      <c r="A844" s="84"/>
      <c r="F844" s="81"/>
    </row>
    <row r="845">
      <c r="A845" s="84"/>
      <c r="F845" s="81"/>
    </row>
    <row r="846">
      <c r="A846" s="84"/>
      <c r="F846" s="81"/>
    </row>
    <row r="847">
      <c r="A847" s="84"/>
      <c r="F847" s="81"/>
    </row>
    <row r="848">
      <c r="A848" s="84"/>
      <c r="F848" s="81"/>
    </row>
    <row r="849">
      <c r="A849" s="84"/>
      <c r="F849" s="81"/>
    </row>
    <row r="850">
      <c r="A850" s="84"/>
      <c r="F850" s="81"/>
    </row>
    <row r="851">
      <c r="A851" s="84"/>
      <c r="F851" s="81"/>
    </row>
    <row r="852">
      <c r="A852" s="84"/>
      <c r="F852" s="81"/>
    </row>
    <row r="853">
      <c r="A853" s="84"/>
      <c r="F853" s="81"/>
    </row>
    <row r="854">
      <c r="A854" s="84"/>
      <c r="F854" s="81"/>
    </row>
    <row r="855">
      <c r="A855" s="84"/>
      <c r="F855" s="81"/>
    </row>
    <row r="856">
      <c r="A856" s="84"/>
      <c r="F856" s="81"/>
    </row>
    <row r="857">
      <c r="A857" s="84"/>
      <c r="F857" s="81"/>
    </row>
    <row r="858">
      <c r="A858" s="84"/>
      <c r="F858" s="81"/>
    </row>
    <row r="859">
      <c r="A859" s="84"/>
      <c r="F859" s="81"/>
    </row>
    <row r="860">
      <c r="A860" s="84"/>
      <c r="F860" s="81"/>
    </row>
    <row r="861">
      <c r="A861" s="84"/>
      <c r="F861" s="81"/>
    </row>
    <row r="862">
      <c r="A862" s="84"/>
      <c r="F862" s="81"/>
    </row>
    <row r="863">
      <c r="A863" s="84"/>
      <c r="F863" s="81"/>
    </row>
    <row r="864">
      <c r="A864" s="84"/>
      <c r="F864" s="81"/>
    </row>
    <row r="865">
      <c r="A865" s="84"/>
      <c r="F865" s="81"/>
    </row>
    <row r="866">
      <c r="A866" s="84"/>
      <c r="F866" s="81"/>
    </row>
    <row r="867">
      <c r="A867" s="84"/>
      <c r="F867" s="81"/>
    </row>
    <row r="868">
      <c r="A868" s="84"/>
      <c r="F868" s="81"/>
    </row>
    <row r="869">
      <c r="A869" s="84"/>
      <c r="F869" s="81"/>
    </row>
    <row r="870">
      <c r="A870" s="84"/>
      <c r="F870" s="81"/>
    </row>
    <row r="871">
      <c r="A871" s="84"/>
      <c r="F871" s="81"/>
    </row>
    <row r="872">
      <c r="A872" s="84"/>
      <c r="F872" s="81"/>
    </row>
    <row r="873">
      <c r="A873" s="84"/>
      <c r="F873" s="81"/>
    </row>
    <row r="874">
      <c r="A874" s="84"/>
      <c r="F874" s="81"/>
    </row>
    <row r="875">
      <c r="A875" s="84"/>
      <c r="F875" s="81"/>
    </row>
    <row r="876">
      <c r="A876" s="84"/>
      <c r="F876" s="81"/>
    </row>
    <row r="877">
      <c r="A877" s="84"/>
      <c r="F877" s="81"/>
    </row>
    <row r="878">
      <c r="A878" s="84"/>
      <c r="F878" s="81"/>
    </row>
    <row r="879">
      <c r="A879" s="84"/>
      <c r="F879" s="81"/>
    </row>
    <row r="880">
      <c r="A880" s="84"/>
      <c r="F880" s="81"/>
    </row>
    <row r="881">
      <c r="A881" s="84"/>
      <c r="F881" s="81"/>
    </row>
    <row r="882">
      <c r="A882" s="84"/>
      <c r="F882" s="81"/>
    </row>
    <row r="883">
      <c r="A883" s="84"/>
      <c r="F883" s="81"/>
    </row>
    <row r="884">
      <c r="A884" s="84"/>
      <c r="F884" s="81"/>
    </row>
    <row r="885">
      <c r="A885" s="84"/>
      <c r="F885" s="81"/>
    </row>
    <row r="886">
      <c r="A886" s="84"/>
      <c r="F886" s="81"/>
    </row>
    <row r="887">
      <c r="A887" s="84"/>
      <c r="F887" s="81"/>
    </row>
    <row r="888">
      <c r="A888" s="84"/>
      <c r="F888" s="81"/>
    </row>
    <row r="889">
      <c r="A889" s="84"/>
      <c r="F889" s="81"/>
    </row>
    <row r="890">
      <c r="A890" s="84"/>
      <c r="F890" s="81"/>
    </row>
    <row r="891">
      <c r="A891" s="84"/>
      <c r="F891" s="81"/>
    </row>
    <row r="892">
      <c r="A892" s="84"/>
      <c r="F892" s="81"/>
    </row>
    <row r="893">
      <c r="A893" s="84"/>
      <c r="F893" s="81"/>
    </row>
    <row r="894">
      <c r="A894" s="84"/>
      <c r="F894" s="81"/>
    </row>
    <row r="895">
      <c r="A895" s="84"/>
      <c r="F895" s="81"/>
    </row>
    <row r="896">
      <c r="A896" s="84"/>
      <c r="F896" s="81"/>
    </row>
    <row r="897">
      <c r="A897" s="84"/>
      <c r="F897" s="81"/>
    </row>
    <row r="898">
      <c r="A898" s="84"/>
      <c r="F898" s="81"/>
    </row>
    <row r="899">
      <c r="A899" s="84"/>
      <c r="F899" s="81"/>
    </row>
    <row r="900">
      <c r="A900" s="84"/>
      <c r="F900" s="81"/>
    </row>
    <row r="901">
      <c r="A901" s="84"/>
      <c r="F901" s="81"/>
    </row>
    <row r="902">
      <c r="A902" s="84"/>
      <c r="F902" s="81"/>
    </row>
    <row r="903">
      <c r="A903" s="84"/>
      <c r="F903" s="81"/>
    </row>
    <row r="904">
      <c r="A904" s="84"/>
      <c r="F904" s="81"/>
    </row>
    <row r="905">
      <c r="A905" s="84"/>
      <c r="F905" s="81"/>
    </row>
    <row r="906">
      <c r="A906" s="84"/>
      <c r="F906" s="81"/>
    </row>
    <row r="907">
      <c r="A907" s="84"/>
      <c r="F907" s="81"/>
    </row>
    <row r="908">
      <c r="A908" s="84"/>
      <c r="F908" s="81"/>
    </row>
    <row r="909">
      <c r="A909" s="84"/>
      <c r="F909" s="81"/>
    </row>
    <row r="910">
      <c r="A910" s="84"/>
      <c r="F910" s="81"/>
    </row>
    <row r="911">
      <c r="A911" s="84"/>
      <c r="F911" s="81"/>
    </row>
    <row r="912">
      <c r="A912" s="84"/>
      <c r="F912" s="81"/>
    </row>
    <row r="913">
      <c r="A913" s="84"/>
      <c r="F913" s="81"/>
    </row>
    <row r="914">
      <c r="A914" s="84"/>
      <c r="F914" s="81"/>
    </row>
    <row r="915">
      <c r="A915" s="84"/>
      <c r="F915" s="81"/>
    </row>
    <row r="916">
      <c r="A916" s="84"/>
      <c r="F916" s="81"/>
    </row>
    <row r="917">
      <c r="A917" s="84"/>
      <c r="F917" s="81"/>
    </row>
    <row r="918">
      <c r="A918" s="84"/>
      <c r="F918" s="81"/>
    </row>
    <row r="919">
      <c r="A919" s="84"/>
      <c r="F919" s="81"/>
    </row>
    <row r="920">
      <c r="A920" s="84"/>
      <c r="F920" s="81"/>
    </row>
    <row r="921">
      <c r="A921" s="84"/>
      <c r="F921" s="81"/>
    </row>
    <row r="922">
      <c r="A922" s="84"/>
      <c r="F922" s="81"/>
    </row>
    <row r="923">
      <c r="A923" s="84"/>
      <c r="F923" s="81"/>
    </row>
    <row r="924">
      <c r="A924" s="84"/>
      <c r="F924" s="81"/>
    </row>
    <row r="925">
      <c r="A925" s="84"/>
      <c r="F925" s="81"/>
    </row>
    <row r="926">
      <c r="A926" s="84"/>
      <c r="F926" s="81"/>
    </row>
    <row r="927">
      <c r="A927" s="84"/>
      <c r="F927" s="81"/>
    </row>
    <row r="928">
      <c r="A928" s="84"/>
      <c r="F928" s="81"/>
    </row>
    <row r="929">
      <c r="A929" s="84"/>
      <c r="F929" s="81"/>
    </row>
    <row r="930">
      <c r="A930" s="84"/>
      <c r="F930" s="81"/>
    </row>
    <row r="931">
      <c r="A931" s="84"/>
      <c r="F931" s="81"/>
    </row>
    <row r="932">
      <c r="A932" s="84"/>
      <c r="F932" s="81"/>
    </row>
    <row r="933">
      <c r="A933" s="84"/>
      <c r="F933" s="81"/>
    </row>
    <row r="934">
      <c r="A934" s="84"/>
      <c r="F934" s="81"/>
    </row>
    <row r="935">
      <c r="A935" s="84"/>
      <c r="F935" s="81"/>
    </row>
    <row r="936">
      <c r="A936" s="84"/>
      <c r="F936" s="81"/>
    </row>
    <row r="937">
      <c r="A937" s="84"/>
      <c r="F937" s="81"/>
    </row>
    <row r="938">
      <c r="A938" s="84"/>
      <c r="F938" s="81"/>
    </row>
    <row r="939">
      <c r="A939" s="84"/>
      <c r="F939" s="81"/>
    </row>
    <row r="940">
      <c r="A940" s="84"/>
      <c r="F940" s="81"/>
    </row>
    <row r="941">
      <c r="A941" s="84"/>
      <c r="F941" s="81"/>
    </row>
    <row r="942">
      <c r="A942" s="84"/>
      <c r="F942" s="81"/>
    </row>
    <row r="943">
      <c r="A943" s="84"/>
      <c r="F943" s="81"/>
    </row>
    <row r="944">
      <c r="A944" s="84"/>
      <c r="F944" s="81"/>
    </row>
    <row r="945">
      <c r="A945" s="84"/>
      <c r="F945" s="81"/>
    </row>
    <row r="946">
      <c r="A946" s="84"/>
      <c r="F946" s="81"/>
    </row>
    <row r="947">
      <c r="A947" s="84"/>
      <c r="F947" s="81"/>
    </row>
    <row r="948">
      <c r="A948" s="84"/>
      <c r="F948" s="81"/>
    </row>
    <row r="949">
      <c r="A949" s="84"/>
      <c r="F949" s="81"/>
    </row>
    <row r="950">
      <c r="A950" s="84"/>
      <c r="F950" s="81"/>
    </row>
    <row r="951">
      <c r="A951" s="84"/>
      <c r="F951" s="81"/>
    </row>
    <row r="952">
      <c r="A952" s="84"/>
      <c r="F952" s="81"/>
    </row>
    <row r="953">
      <c r="A953" s="84"/>
      <c r="F953" s="81"/>
    </row>
    <row r="954">
      <c r="A954" s="84"/>
      <c r="F954" s="81"/>
    </row>
    <row r="955">
      <c r="A955" s="84"/>
      <c r="F955" s="81"/>
    </row>
    <row r="956">
      <c r="A956" s="84"/>
      <c r="F956" s="81"/>
    </row>
    <row r="957">
      <c r="A957" s="84"/>
      <c r="F957" s="81"/>
    </row>
    <row r="958">
      <c r="A958" s="84"/>
      <c r="F958" s="81"/>
    </row>
    <row r="959">
      <c r="A959" s="84"/>
      <c r="F959" s="81"/>
    </row>
    <row r="960">
      <c r="A960" s="84"/>
      <c r="F960" s="81"/>
    </row>
    <row r="961">
      <c r="A961" s="84"/>
      <c r="F961" s="81"/>
    </row>
    <row r="962">
      <c r="A962" s="84"/>
      <c r="F962" s="81"/>
    </row>
    <row r="963">
      <c r="A963" s="84"/>
      <c r="F963" s="81"/>
    </row>
    <row r="964">
      <c r="A964" s="84"/>
      <c r="F964" s="81"/>
    </row>
    <row r="965">
      <c r="A965" s="84"/>
      <c r="F965" s="81"/>
    </row>
    <row r="966">
      <c r="A966" s="84"/>
      <c r="F966" s="81"/>
    </row>
    <row r="967">
      <c r="A967" s="84"/>
      <c r="F967" s="81"/>
    </row>
    <row r="968">
      <c r="A968" s="84"/>
      <c r="F968" s="81"/>
    </row>
    <row r="969">
      <c r="A969" s="84"/>
      <c r="F969" s="81"/>
    </row>
    <row r="970">
      <c r="A970" s="84"/>
      <c r="F970" s="81"/>
    </row>
    <row r="971">
      <c r="A971" s="84"/>
      <c r="F971" s="81"/>
    </row>
    <row r="972">
      <c r="A972" s="84"/>
      <c r="F972" s="81"/>
    </row>
    <row r="973">
      <c r="A973" s="84"/>
      <c r="F973" s="81"/>
    </row>
    <row r="974">
      <c r="A974" s="84"/>
      <c r="F974" s="81"/>
    </row>
    <row r="975">
      <c r="A975" s="84"/>
      <c r="F975" s="81"/>
    </row>
    <row r="976">
      <c r="A976" s="84"/>
      <c r="F976" s="81"/>
    </row>
    <row r="977">
      <c r="A977" s="84"/>
      <c r="F977" s="81"/>
    </row>
    <row r="978">
      <c r="A978" s="84"/>
      <c r="F978" s="81"/>
    </row>
    <row r="979">
      <c r="A979" s="84"/>
      <c r="F979" s="81"/>
    </row>
    <row r="980">
      <c r="A980" s="84"/>
      <c r="F980" s="81"/>
    </row>
    <row r="981">
      <c r="A981" s="84"/>
      <c r="F981" s="81"/>
    </row>
    <row r="982">
      <c r="A982" s="84"/>
      <c r="F982" s="81"/>
    </row>
    <row r="983">
      <c r="A983" s="84"/>
      <c r="F983" s="81"/>
    </row>
    <row r="984">
      <c r="A984" s="84"/>
      <c r="F984" s="81"/>
    </row>
    <row r="985">
      <c r="A985" s="84"/>
      <c r="F985" s="81"/>
    </row>
    <row r="986">
      <c r="A986" s="84"/>
      <c r="F986" s="81"/>
    </row>
    <row r="987">
      <c r="A987" s="84"/>
      <c r="F987" s="81"/>
    </row>
    <row r="988">
      <c r="A988" s="84"/>
      <c r="F988" s="81"/>
    </row>
    <row r="989">
      <c r="A989" s="84"/>
      <c r="F989" s="81"/>
    </row>
    <row r="990">
      <c r="A990" s="84"/>
      <c r="F990" s="81"/>
    </row>
    <row r="991">
      <c r="A991" s="84"/>
      <c r="F991" s="81"/>
    </row>
    <row r="992">
      <c r="A992" s="84"/>
      <c r="F992" s="81"/>
    </row>
    <row r="993">
      <c r="A993" s="84"/>
      <c r="F993" s="81"/>
    </row>
    <row r="994">
      <c r="A994" s="84"/>
      <c r="F994" s="81"/>
    </row>
    <row r="995">
      <c r="A995" s="84"/>
      <c r="F995" s="81"/>
    </row>
    <row r="996">
      <c r="A996" s="84"/>
      <c r="F996" s="81"/>
    </row>
    <row r="997">
      <c r="A997" s="84"/>
      <c r="F997" s="81"/>
    </row>
    <row r="998">
      <c r="A998" s="84"/>
      <c r="F998" s="81"/>
    </row>
    <row r="999">
      <c r="A999" s="84"/>
      <c r="F999" s="81"/>
    </row>
    <row r="1000">
      <c r="A1000" s="84"/>
      <c r="F1000" s="81"/>
    </row>
  </sheetData>
  <mergeCells count="3">
    <mergeCell ref="B1:F1"/>
    <mergeCell ref="G1:K1"/>
    <mergeCell ref="A2:A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7" max="7" width="26.75"/>
  </cols>
  <sheetData>
    <row r="1">
      <c r="A1" s="146" t="s">
        <v>73</v>
      </c>
      <c r="F1" s="147"/>
      <c r="G1" s="146" t="s">
        <v>74</v>
      </c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>
      <c r="A2" s="149"/>
      <c r="B2" s="149">
        <v>2021.0</v>
      </c>
      <c r="C2" s="149">
        <v>2020.0</v>
      </c>
      <c r="D2" s="149">
        <v>2019.0</v>
      </c>
      <c r="E2" s="149">
        <v>2018.0</v>
      </c>
      <c r="F2" s="150">
        <v>2017.0</v>
      </c>
      <c r="G2" s="149"/>
      <c r="H2" s="149">
        <v>2021.0</v>
      </c>
      <c r="I2" s="149">
        <v>2020.0</v>
      </c>
      <c r="J2" s="149">
        <v>2019.0</v>
      </c>
      <c r="K2" s="149">
        <v>2018.0</v>
      </c>
      <c r="L2" s="149">
        <v>2017.0</v>
      </c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>
      <c r="A3" s="151" t="s">
        <v>200</v>
      </c>
      <c r="B3" s="152">
        <v>70300.0</v>
      </c>
      <c r="C3" s="152">
        <v>13400.0</v>
      </c>
      <c r="D3" s="152">
        <v>-11800.0</v>
      </c>
      <c r="E3" s="152">
        <v>29200.0</v>
      </c>
      <c r="F3" s="153">
        <v>63000.0</v>
      </c>
      <c r="G3" s="151" t="s">
        <v>201</v>
      </c>
      <c r="H3" s="152">
        <v>964207.0</v>
      </c>
      <c r="I3" s="152">
        <v>815251.0</v>
      </c>
      <c r="J3" s="152">
        <v>784879.0</v>
      </c>
      <c r="K3" s="152">
        <v>752836.0</v>
      </c>
      <c r="L3" s="152">
        <v>745678.0</v>
      </c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>
      <c r="A4" s="151" t="s">
        <v>201</v>
      </c>
      <c r="B4" s="152">
        <v>701500.0</v>
      </c>
      <c r="C4" s="152">
        <v>750100.0</v>
      </c>
      <c r="D4" s="152">
        <v>752200.0</v>
      </c>
      <c r="E4" s="152">
        <v>731400.0</v>
      </c>
      <c r="F4" s="153">
        <v>657600.0</v>
      </c>
      <c r="G4" s="151" t="s">
        <v>202</v>
      </c>
      <c r="H4" s="152">
        <v>1257695.0</v>
      </c>
      <c r="I4" s="152">
        <v>2013698.0</v>
      </c>
      <c r="J4" s="152">
        <v>1301851.0</v>
      </c>
      <c r="K4" s="152">
        <v>1454302.0</v>
      </c>
      <c r="L4" s="152">
        <v>1249074.0</v>
      </c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>
      <c r="A5" s="151" t="s">
        <v>203</v>
      </c>
      <c r="B5" s="152">
        <f t="shared" ref="B5:F5" si="1">B3+B4</f>
        <v>771800</v>
      </c>
      <c r="C5" s="152">
        <f t="shared" si="1"/>
        <v>763500</v>
      </c>
      <c r="D5" s="152">
        <f t="shared" si="1"/>
        <v>740400</v>
      </c>
      <c r="E5" s="152">
        <f t="shared" si="1"/>
        <v>760600</v>
      </c>
      <c r="F5" s="153">
        <f t="shared" si="1"/>
        <v>720600</v>
      </c>
      <c r="G5" s="151" t="s">
        <v>204</v>
      </c>
      <c r="H5" s="152">
        <v>4922739.0</v>
      </c>
      <c r="I5" s="152">
        <v>4448450.0</v>
      </c>
      <c r="J5" s="152">
        <v>4363774.0</v>
      </c>
      <c r="K5" s="152">
        <v>4215744.0</v>
      </c>
      <c r="L5" s="152">
        <v>4070907.0</v>
      </c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>
      <c r="A6" s="151" t="s">
        <v>205</v>
      </c>
      <c r="B6" s="152">
        <v>3972000.0</v>
      </c>
      <c r="C6" s="152">
        <v>3618700.0</v>
      </c>
      <c r="D6" s="152">
        <v>3932600.0</v>
      </c>
      <c r="E6" s="152">
        <v>3695800.0</v>
      </c>
      <c r="F6" s="153">
        <v>3510000.0</v>
      </c>
      <c r="G6" s="151" t="s">
        <v>206</v>
      </c>
      <c r="H6" s="152">
        <f t="shared" ref="H6:L6" si="2">(H3+H4)/2</f>
        <v>1110951</v>
      </c>
      <c r="I6" s="152">
        <f t="shared" si="2"/>
        <v>1414474.5</v>
      </c>
      <c r="J6" s="152">
        <f t="shared" si="2"/>
        <v>1043365</v>
      </c>
      <c r="K6" s="152">
        <f t="shared" si="2"/>
        <v>1103569</v>
      </c>
      <c r="L6" s="152">
        <f t="shared" si="2"/>
        <v>997376</v>
      </c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>
      <c r="A7" s="151" t="s">
        <v>207</v>
      </c>
      <c r="B7" s="154">
        <f t="shared" ref="B7:F7" si="3">B4+B6-B5</f>
        <v>3901700</v>
      </c>
      <c r="C7" s="154">
        <f t="shared" si="3"/>
        <v>3605300</v>
      </c>
      <c r="D7" s="154">
        <f t="shared" si="3"/>
        <v>3944400</v>
      </c>
      <c r="E7" s="154">
        <f t="shared" si="3"/>
        <v>3666600</v>
      </c>
      <c r="F7" s="155">
        <f t="shared" si="3"/>
        <v>3447000</v>
      </c>
      <c r="G7" s="151" t="s">
        <v>208</v>
      </c>
      <c r="H7" s="154">
        <f t="shared" ref="H7:L7" si="4">H5/H6</f>
        <v>4.431103622</v>
      </c>
      <c r="I7" s="154">
        <f t="shared" si="4"/>
        <v>3.144948884</v>
      </c>
      <c r="J7" s="154">
        <f t="shared" si="4"/>
        <v>4.182404048</v>
      </c>
      <c r="K7" s="154">
        <f t="shared" si="4"/>
        <v>3.820100057</v>
      </c>
      <c r="L7" s="154">
        <f t="shared" si="4"/>
        <v>4.081617163</v>
      </c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>
      <c r="A8" s="151" t="s">
        <v>206</v>
      </c>
      <c r="B8" s="154">
        <f t="shared" ref="B8:F8" si="5">(B4+B5)/2</f>
        <v>736650</v>
      </c>
      <c r="C8" s="154">
        <f t="shared" si="5"/>
        <v>756800</v>
      </c>
      <c r="D8" s="154">
        <f t="shared" si="5"/>
        <v>746300</v>
      </c>
      <c r="E8" s="154">
        <f t="shared" si="5"/>
        <v>746000</v>
      </c>
      <c r="F8" s="155">
        <f t="shared" si="5"/>
        <v>689100</v>
      </c>
      <c r="G8" s="156" t="s">
        <v>209</v>
      </c>
      <c r="H8" s="157">
        <f>(H7+I7+J7+K7+L7)/5</f>
        <v>3.932034755</v>
      </c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>
      <c r="A9" s="158" t="s">
        <v>208</v>
      </c>
      <c r="B9" s="159">
        <f t="shared" ref="B9:F9" si="6">B7/B8</f>
        <v>5.296545171</v>
      </c>
      <c r="C9" s="159">
        <f t="shared" si="6"/>
        <v>4.763874207</v>
      </c>
      <c r="D9" s="159">
        <f t="shared" si="6"/>
        <v>5.285274018</v>
      </c>
      <c r="E9" s="159">
        <f t="shared" si="6"/>
        <v>4.915013405</v>
      </c>
      <c r="F9" s="160">
        <f t="shared" si="6"/>
        <v>5.002176752</v>
      </c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>
      <c r="A10" s="161" t="s">
        <v>209</v>
      </c>
      <c r="B10" s="162">
        <f>(B9+C9+D9+E9+F9)/5</f>
        <v>5.052576711</v>
      </c>
      <c r="F10" s="147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>
      <c r="A11" s="148"/>
      <c r="B11" s="148"/>
      <c r="C11" s="148"/>
      <c r="D11" s="148"/>
      <c r="E11" s="148"/>
      <c r="F11" s="163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>
      <c r="A12" s="148"/>
      <c r="B12" s="148"/>
      <c r="C12" s="148"/>
      <c r="D12" s="148"/>
      <c r="E12" s="148"/>
      <c r="F12" s="163"/>
      <c r="G12" s="148"/>
      <c r="H12" s="148"/>
      <c r="I12" s="148"/>
      <c r="J12" s="148"/>
      <c r="K12" s="15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>
      <c r="A16" s="148"/>
      <c r="B16" s="148"/>
      <c r="C16" s="148"/>
      <c r="D16" s="148"/>
      <c r="E16" s="148"/>
      <c r="F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>
      <c r="A17" s="158"/>
      <c r="B17" s="148"/>
      <c r="C17" s="148"/>
      <c r="D17" s="148"/>
      <c r="E17" s="148"/>
      <c r="F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>
      <c r="A18" s="148"/>
      <c r="B18" s="148"/>
      <c r="C18" s="148"/>
      <c r="D18" s="148"/>
      <c r="E18" s="148"/>
      <c r="F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>
      <c r="A19" s="148"/>
      <c r="B19" s="148"/>
      <c r="C19" s="148"/>
      <c r="D19" s="148"/>
      <c r="E19" s="148"/>
      <c r="F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>
      <c r="A20" s="148"/>
      <c r="B20" s="148"/>
      <c r="C20" s="148"/>
      <c r="D20" s="148"/>
      <c r="E20" s="148"/>
      <c r="F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>
      <c r="A21" s="148"/>
      <c r="B21" s="148"/>
      <c r="C21" s="148"/>
      <c r="D21" s="148"/>
      <c r="E21" s="148"/>
      <c r="F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>
      <c r="A22" s="148"/>
      <c r="B22" s="148"/>
      <c r="C22" s="148"/>
      <c r="D22" s="148"/>
      <c r="E22" s="148"/>
      <c r="F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>
      <c r="A23" s="148"/>
      <c r="B23" s="148"/>
      <c r="C23" s="148"/>
      <c r="D23" s="148"/>
      <c r="E23" s="148"/>
      <c r="F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  <row r="100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</row>
  </sheetData>
  <mergeCells count="4">
    <mergeCell ref="A1:F1"/>
    <mergeCell ref="G1:L1"/>
    <mergeCell ref="H8:L8"/>
    <mergeCell ref="B10:F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7" max="7" width="20.0"/>
  </cols>
  <sheetData>
    <row r="1">
      <c r="A1" s="164" t="s">
        <v>73</v>
      </c>
      <c r="F1" s="147"/>
      <c r="G1" s="146" t="s">
        <v>74</v>
      </c>
    </row>
    <row r="2">
      <c r="A2" s="149" t="s">
        <v>0</v>
      </c>
      <c r="B2" s="149">
        <v>2021.0</v>
      </c>
      <c r="C2" s="149">
        <v>2020.0</v>
      </c>
      <c r="D2" s="149">
        <v>2019.0</v>
      </c>
      <c r="E2" s="149">
        <v>2018.0</v>
      </c>
      <c r="F2" s="150">
        <v>2017.0</v>
      </c>
      <c r="G2" s="149" t="s">
        <v>0</v>
      </c>
      <c r="H2" s="149">
        <v>2021.0</v>
      </c>
      <c r="I2" s="149">
        <v>2020.0</v>
      </c>
      <c r="J2" s="149">
        <v>2019.0</v>
      </c>
      <c r="K2" s="149">
        <v>2018.0</v>
      </c>
      <c r="L2" s="149">
        <v>2017.0</v>
      </c>
    </row>
    <row r="3">
      <c r="A3" s="151" t="s">
        <v>95</v>
      </c>
      <c r="B3" s="165">
        <v>3732500.0</v>
      </c>
      <c r="C3" s="165">
        <v>3444700.0</v>
      </c>
      <c r="D3" s="165">
        <v>3370600.0</v>
      </c>
      <c r="E3" s="165">
        <v>2763400.0</v>
      </c>
      <c r="F3" s="166">
        <v>2780600.0</v>
      </c>
      <c r="G3" s="151" t="s">
        <v>95</v>
      </c>
      <c r="H3" s="165">
        <v>7655002.0</v>
      </c>
      <c r="I3" s="165">
        <v>6893962.0</v>
      </c>
      <c r="J3" s="165">
        <v>6395401.0</v>
      </c>
      <c r="K3" s="165">
        <v>6295754.0</v>
      </c>
      <c r="L3" s="165">
        <v>4622161.0</v>
      </c>
    </row>
    <row r="4">
      <c r="A4" s="151" t="s">
        <v>210</v>
      </c>
      <c r="B4" s="165">
        <v>5223600.0</v>
      </c>
      <c r="C4" s="165">
        <v>4606300.0</v>
      </c>
      <c r="D4" s="165">
        <v>4670200.0</v>
      </c>
      <c r="E4" s="165">
        <v>4486400.0</v>
      </c>
      <c r="F4" s="166">
        <v>4195000.0</v>
      </c>
      <c r="G4" s="151" t="s">
        <v>210</v>
      </c>
      <c r="H4" s="165">
        <v>2757229.0</v>
      </c>
      <c r="I4" s="165">
        <v>2237883.0</v>
      </c>
      <c r="J4" s="165">
        <v>1744994.0</v>
      </c>
      <c r="K4" s="165">
        <v>1407266.0</v>
      </c>
      <c r="L4" s="165">
        <v>931565.0</v>
      </c>
    </row>
    <row r="5">
      <c r="A5" s="151" t="s">
        <v>211</v>
      </c>
      <c r="B5" s="152">
        <f t="shared" ref="B5:F5" si="1">B3/B4</f>
        <v>0.7145455242</v>
      </c>
      <c r="C5" s="152">
        <f t="shared" si="1"/>
        <v>0.7478236329</v>
      </c>
      <c r="D5" s="152">
        <f t="shared" si="1"/>
        <v>0.7217249797</v>
      </c>
      <c r="E5" s="152">
        <f t="shared" si="1"/>
        <v>0.615950428</v>
      </c>
      <c r="F5" s="153">
        <f t="shared" si="1"/>
        <v>0.6628367104</v>
      </c>
      <c r="G5" s="151" t="s">
        <v>211</v>
      </c>
      <c r="H5" s="152">
        <f t="shared" ref="H5:L5" si="2">H3/H4</f>
        <v>2.776338853</v>
      </c>
      <c r="I5" s="152">
        <f t="shared" si="2"/>
        <v>3.080573024</v>
      </c>
      <c r="J5" s="152">
        <f t="shared" si="2"/>
        <v>3.664998848</v>
      </c>
      <c r="K5" s="152">
        <f t="shared" si="2"/>
        <v>4.473748389</v>
      </c>
      <c r="L5" s="152">
        <f t="shared" si="2"/>
        <v>4.961716037</v>
      </c>
    </row>
    <row r="6">
      <c r="A6" s="151" t="s">
        <v>212</v>
      </c>
      <c r="B6" s="167">
        <f>(B5+C5+D5+E5+F5)/5</f>
        <v>0.692576255</v>
      </c>
      <c r="F6" s="147"/>
      <c r="G6" s="151" t="s">
        <v>212</v>
      </c>
      <c r="H6" s="168">
        <f>(H5+I5+J5+K5+L5)/5</f>
        <v>3.79147503</v>
      </c>
    </row>
    <row r="7">
      <c r="F7" s="81"/>
      <c r="G7" s="151"/>
      <c r="H7" s="38"/>
      <c r="I7" s="38"/>
      <c r="J7" s="38"/>
      <c r="K7" s="38"/>
      <c r="L7" s="38"/>
    </row>
    <row r="8">
      <c r="A8" s="169"/>
      <c r="B8" s="169"/>
      <c r="C8" s="169"/>
      <c r="D8" s="169"/>
      <c r="E8" s="169"/>
      <c r="F8" s="170"/>
      <c r="G8" s="171"/>
      <c r="H8" s="38"/>
      <c r="I8" s="38"/>
      <c r="J8" s="38"/>
      <c r="K8" s="38"/>
      <c r="L8" s="38"/>
    </row>
    <row r="9">
      <c r="F9" s="81"/>
    </row>
  </sheetData>
  <mergeCells count="4">
    <mergeCell ref="A1:F1"/>
    <mergeCell ref="G1:L1"/>
    <mergeCell ref="B6:F6"/>
    <mergeCell ref="H6:L6"/>
  </mergeCells>
  <drawing r:id="rId1"/>
</worksheet>
</file>