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xr:revisionPtr revIDLastSave="0" documentId="8_{B5634C6F-24AB-E140-A98C-391FA9772330}" xr6:coauthVersionLast="47" xr6:coauthVersionMax="47" xr10:uidLastSave="{00000000-0000-0000-0000-000000000000}"/>
  <bookViews>
    <workbookView xWindow="0" yWindow="500" windowWidth="19960" windowHeight="16100" firstSheet="8" activeTab="14" xr2:uid="{00000000-000D-0000-FFFF-FFFF00000000}"/>
  </bookViews>
  <sheets>
    <sheet name="BS" sheetId="1" r:id="rId1"/>
    <sheet name="IS" sheetId="2" r:id="rId2"/>
    <sheet name="CF" sheetId="3" r:id="rId3"/>
    <sheet name="Profitability Ratios" sheetId="6" r:id="rId4"/>
    <sheet name="Liquidity and Efficiency Ratios" sheetId="4" r:id="rId5"/>
    <sheet name="Gearing Ratios" sheetId="7" r:id="rId6"/>
    <sheet name="Investment Ratios" sheetId="5" r:id="rId7"/>
    <sheet name="DuPont Analysis" sheetId="15" r:id="rId8"/>
    <sheet name="Ratios - Summary" sheetId="9" r:id="rId9"/>
    <sheet name="Relative Valuation PE" sheetId="8" r:id="rId10"/>
    <sheet name="Z Score" sheetId="10" r:id="rId11"/>
    <sheet name="F-Score" sheetId="11" r:id="rId12"/>
    <sheet name="Sensitivity - Input" sheetId="12" r:id="rId13"/>
    <sheet name="Sensitivity Analysis" sheetId="13" r:id="rId14"/>
    <sheet name="Word Count"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13" l="1"/>
  <c r="B22" i="13"/>
  <c r="B12" i="13"/>
  <c r="B13" i="13"/>
  <c r="B2" i="13"/>
  <c r="B3" i="13"/>
  <c r="B13" i="14"/>
  <c r="B10" i="14"/>
  <c r="B12" i="14" s="1"/>
  <c r="B15" i="14" s="1"/>
  <c r="F17" i="13"/>
  <c r="F13" i="13"/>
  <c r="F25" i="12"/>
  <c r="E25" i="12"/>
  <c r="D25" i="12"/>
  <c r="C25" i="12"/>
  <c r="B25" i="12"/>
  <c r="E24" i="12"/>
  <c r="D24" i="12"/>
  <c r="C24" i="12"/>
  <c r="B24" i="12"/>
  <c r="G24" i="12" s="1"/>
  <c r="H24" i="12" s="1"/>
  <c r="I23" i="12" s="1"/>
  <c r="I22" i="12"/>
  <c r="F22" i="12"/>
  <c r="E22" i="12"/>
  <c r="D22" i="12"/>
  <c r="C22" i="12"/>
  <c r="B22" i="12"/>
  <c r="E21" i="12"/>
  <c r="D21" i="12"/>
  <c r="C21" i="12"/>
  <c r="B21" i="12"/>
  <c r="G21" i="12" s="1"/>
  <c r="I20" i="12"/>
  <c r="G19" i="12"/>
  <c r="B19" i="12"/>
  <c r="D18" i="12"/>
  <c r="C18" i="12"/>
  <c r="G18" i="12" s="1"/>
  <c r="B18" i="12"/>
  <c r="I17" i="12"/>
  <c r="F16" i="12"/>
  <c r="E16" i="12"/>
  <c r="D16" i="12"/>
  <c r="C16" i="12"/>
  <c r="B16" i="12"/>
  <c r="H15" i="12"/>
  <c r="I14" i="12" s="1"/>
  <c r="E15" i="12"/>
  <c r="D15" i="12"/>
  <c r="C15" i="12"/>
  <c r="B15" i="12"/>
  <c r="G15" i="12" s="1"/>
  <c r="E13" i="12"/>
  <c r="D13" i="12"/>
  <c r="C13" i="12"/>
  <c r="B13" i="12"/>
  <c r="G13" i="12" s="1"/>
  <c r="H13" i="12" s="1"/>
  <c r="I12" i="12" s="1"/>
  <c r="I4" i="12"/>
  <c r="H4" i="12"/>
  <c r="G4" i="12"/>
  <c r="F4" i="12"/>
  <c r="E4" i="12"/>
  <c r="D4" i="12"/>
  <c r="C4" i="12"/>
  <c r="B7" i="12" s="1"/>
  <c r="J2" i="12"/>
  <c r="I2" i="12"/>
  <c r="H2" i="12"/>
  <c r="G2" i="12"/>
  <c r="F2" i="12"/>
  <c r="B6" i="12" s="1"/>
  <c r="E2" i="12"/>
  <c r="D2" i="12"/>
  <c r="C2" i="12"/>
  <c r="B2" i="12"/>
  <c r="F1" i="12"/>
  <c r="G17" i="11"/>
  <c r="E17" i="11"/>
  <c r="C17" i="11"/>
  <c r="F12" i="11"/>
  <c r="D12" i="11"/>
  <c r="B12" i="11"/>
  <c r="F6" i="11"/>
  <c r="D6" i="11"/>
  <c r="B6" i="11"/>
  <c r="D19" i="8"/>
  <c r="C19" i="8"/>
  <c r="B19" i="8"/>
  <c r="E14" i="8"/>
  <c r="L30" i="9"/>
  <c r="P29" i="9"/>
  <c r="O29" i="9"/>
  <c r="N29" i="9"/>
  <c r="M29" i="9"/>
  <c r="L29" i="9"/>
  <c r="L16" i="5"/>
  <c r="L31" i="9" s="1"/>
  <c r="P13" i="5"/>
  <c r="P28" i="9" s="1"/>
  <c r="N13" i="5"/>
  <c r="N28" i="9" s="1"/>
  <c r="L13" i="5"/>
  <c r="L28" i="9" s="1"/>
  <c r="J13" i="5"/>
  <c r="J28" i="9" s="1"/>
  <c r="H13" i="5"/>
  <c r="H28" i="9" s="1"/>
  <c r="F13" i="5"/>
  <c r="F28" i="9" s="1"/>
  <c r="D13" i="5"/>
  <c r="D28" i="9" s="1"/>
  <c r="B13" i="5"/>
  <c r="B28" i="9" s="1"/>
  <c r="P12" i="5"/>
  <c r="O12" i="5"/>
  <c r="N12" i="5"/>
  <c r="M12" i="5"/>
  <c r="L12" i="5"/>
  <c r="K12" i="5"/>
  <c r="J12" i="5"/>
  <c r="I12" i="5"/>
  <c r="H12" i="5"/>
  <c r="G12" i="5"/>
  <c r="F12" i="5"/>
  <c r="F15" i="5" s="1"/>
  <c r="E12" i="5"/>
  <c r="D12" i="5"/>
  <c r="D15" i="5" s="1"/>
  <c r="C12" i="5"/>
  <c r="B12" i="5"/>
  <c r="B15" i="5" s="1"/>
  <c r="F5" i="5"/>
  <c r="F14" i="5" s="1"/>
  <c r="F29" i="9" s="1"/>
  <c r="E5" i="5"/>
  <c r="D5" i="5"/>
  <c r="D14" i="5" s="1"/>
  <c r="D29" i="9" s="1"/>
  <c r="C5" i="5"/>
  <c r="B5" i="5"/>
  <c r="B14" i="5" s="1"/>
  <c r="B29" i="9" s="1"/>
  <c r="P4" i="5"/>
  <c r="O4" i="5"/>
  <c r="N4" i="5"/>
  <c r="M4" i="5"/>
  <c r="L4" i="5"/>
  <c r="K4" i="5"/>
  <c r="J4" i="5"/>
  <c r="I4" i="5"/>
  <c r="H4" i="5"/>
  <c r="G4" i="5"/>
  <c r="F4" i="5"/>
  <c r="F6" i="5" s="1"/>
  <c r="E4" i="5"/>
  <c r="D4" i="5"/>
  <c r="D6" i="5" s="1"/>
  <c r="C4" i="5"/>
  <c r="B4" i="5"/>
  <c r="B6" i="5" s="1"/>
  <c r="O13" i="7"/>
  <c r="O22" i="9" s="1"/>
  <c r="M13" i="7"/>
  <c r="M22" i="9" s="1"/>
  <c r="K13" i="7"/>
  <c r="K22" i="9" s="1"/>
  <c r="I13" i="7"/>
  <c r="I22" i="9" s="1"/>
  <c r="G13" i="7"/>
  <c r="G22" i="9" s="1"/>
  <c r="E13" i="7"/>
  <c r="E22" i="9" s="1"/>
  <c r="C13" i="7"/>
  <c r="C22" i="9" s="1"/>
  <c r="P12" i="7"/>
  <c r="P13" i="7" s="1"/>
  <c r="P22" i="9" s="1"/>
  <c r="O12" i="7"/>
  <c r="N12" i="7"/>
  <c r="N13" i="7" s="1"/>
  <c r="N22" i="9" s="1"/>
  <c r="M12" i="7"/>
  <c r="L12" i="7"/>
  <c r="L13" i="7" s="1"/>
  <c r="L22" i="9" s="1"/>
  <c r="K12" i="7"/>
  <c r="J12" i="7"/>
  <c r="J13" i="7" s="1"/>
  <c r="J22" i="9" s="1"/>
  <c r="I12" i="7"/>
  <c r="H12" i="7"/>
  <c r="H13" i="7" s="1"/>
  <c r="H22" i="9" s="1"/>
  <c r="G12" i="7"/>
  <c r="F12" i="7"/>
  <c r="F13" i="7" s="1"/>
  <c r="F22" i="9" s="1"/>
  <c r="E12" i="7"/>
  <c r="D12" i="7"/>
  <c r="D13" i="7" s="1"/>
  <c r="D22" i="9" s="1"/>
  <c r="C12" i="7"/>
  <c r="B12" i="7"/>
  <c r="B13" i="7" s="1"/>
  <c r="B22" i="9" s="1"/>
  <c r="P8" i="7"/>
  <c r="O8" i="7"/>
  <c r="N8" i="7"/>
  <c r="M8" i="7"/>
  <c r="L8" i="7"/>
  <c r="K8" i="7"/>
  <c r="J8" i="7"/>
  <c r="I8" i="7"/>
  <c r="H8" i="7"/>
  <c r="G8" i="7"/>
  <c r="F8" i="7"/>
  <c r="E8" i="7"/>
  <c r="D8" i="7"/>
  <c r="C8" i="7"/>
  <c r="B8" i="7"/>
  <c r="H5" i="7"/>
  <c r="G5" i="7"/>
  <c r="P29" i="4"/>
  <c r="P18" i="9" s="1"/>
  <c r="N29" i="4"/>
  <c r="N18" i="9" s="1"/>
  <c r="L29" i="4"/>
  <c r="L18" i="9" s="1"/>
  <c r="J29" i="4"/>
  <c r="J18" i="9" s="1"/>
  <c r="H29" i="4"/>
  <c r="H18" i="9" s="1"/>
  <c r="F29" i="4"/>
  <c r="F18" i="9" s="1"/>
  <c r="D29" i="4"/>
  <c r="D18" i="9" s="1"/>
  <c r="B29" i="4"/>
  <c r="B18" i="9" s="1"/>
  <c r="P25" i="4"/>
  <c r="O25" i="4"/>
  <c r="O29" i="4" s="1"/>
  <c r="O18" i="9" s="1"/>
  <c r="N25" i="4"/>
  <c r="M25" i="4"/>
  <c r="L25" i="4"/>
  <c r="K25" i="4"/>
  <c r="K29" i="4" s="1"/>
  <c r="K18" i="9" s="1"/>
  <c r="J25" i="4"/>
  <c r="I25" i="4"/>
  <c r="H25" i="4"/>
  <c r="G25" i="4"/>
  <c r="G29" i="4" s="1"/>
  <c r="G18" i="9" s="1"/>
  <c r="F25" i="4"/>
  <c r="E25" i="4"/>
  <c r="D25" i="4"/>
  <c r="C25" i="4"/>
  <c r="C29" i="4" s="1"/>
  <c r="C18" i="9" s="1"/>
  <c r="B25" i="4"/>
  <c r="G23" i="4"/>
  <c r="G15" i="9" s="1"/>
  <c r="N22" i="4"/>
  <c r="N23" i="4" s="1"/>
  <c r="N15" i="9" s="1"/>
  <c r="J22" i="4"/>
  <c r="J23" i="4" s="1"/>
  <c r="J15" i="9" s="1"/>
  <c r="F22" i="4"/>
  <c r="F23" i="4" s="1"/>
  <c r="F15" i="9" s="1"/>
  <c r="B22" i="4"/>
  <c r="B23" i="4" s="1"/>
  <c r="B15" i="9" s="1"/>
  <c r="P21" i="4"/>
  <c r="O21" i="4"/>
  <c r="N21" i="4"/>
  <c r="M21" i="4"/>
  <c r="L21" i="4"/>
  <c r="K21" i="4"/>
  <c r="J21" i="4"/>
  <c r="I21" i="4"/>
  <c r="H21" i="4"/>
  <c r="G21" i="4"/>
  <c r="F21" i="4"/>
  <c r="E21" i="4"/>
  <c r="D21" i="4"/>
  <c r="C21" i="4"/>
  <c r="B21" i="4"/>
  <c r="P20" i="4"/>
  <c r="P14" i="9" s="1"/>
  <c r="L20" i="4"/>
  <c r="L14" i="9" s="1"/>
  <c r="H20" i="4"/>
  <c r="H14" i="9" s="1"/>
  <c r="D20" i="4"/>
  <c r="D14" i="9" s="1"/>
  <c r="P19" i="4"/>
  <c r="O19" i="4"/>
  <c r="O20" i="4" s="1"/>
  <c r="O14" i="9" s="1"/>
  <c r="N19" i="4"/>
  <c r="M19" i="4"/>
  <c r="L19" i="4"/>
  <c r="K19" i="4"/>
  <c r="K20" i="4" s="1"/>
  <c r="K14" i="9" s="1"/>
  <c r="J19" i="4"/>
  <c r="I19" i="4"/>
  <c r="H19" i="4"/>
  <c r="G19" i="4"/>
  <c r="G20" i="4" s="1"/>
  <c r="G14" i="9" s="1"/>
  <c r="F19" i="4"/>
  <c r="E19" i="4"/>
  <c r="D19" i="4"/>
  <c r="C19" i="4"/>
  <c r="C20" i="4" s="1"/>
  <c r="C14" i="9" s="1"/>
  <c r="B19" i="4"/>
  <c r="P18" i="4"/>
  <c r="O18" i="4"/>
  <c r="N18" i="4"/>
  <c r="N20" i="4" s="1"/>
  <c r="N14" i="9" s="1"/>
  <c r="M18" i="4"/>
  <c r="M20" i="4" s="1"/>
  <c r="M14" i="9" s="1"/>
  <c r="L18" i="4"/>
  <c r="K18" i="4"/>
  <c r="J18" i="4"/>
  <c r="J20" i="4" s="1"/>
  <c r="J14" i="9" s="1"/>
  <c r="I18" i="4"/>
  <c r="I20" i="4" s="1"/>
  <c r="I14" i="9" s="1"/>
  <c r="H18" i="4"/>
  <c r="G18" i="4"/>
  <c r="F18" i="4"/>
  <c r="F20" i="4" s="1"/>
  <c r="F14" i="9" s="1"/>
  <c r="E18" i="4"/>
  <c r="E20" i="4" s="1"/>
  <c r="E14" i="9" s="1"/>
  <c r="D18" i="4"/>
  <c r="C18" i="4"/>
  <c r="B18" i="4"/>
  <c r="B20" i="4" s="1"/>
  <c r="B14" i="9" s="1"/>
  <c r="P16" i="4"/>
  <c r="P22" i="4" s="1"/>
  <c r="O16" i="4"/>
  <c r="O22" i="4" s="1"/>
  <c r="O23" i="4" s="1"/>
  <c r="O15" i="9" s="1"/>
  <c r="N16" i="4"/>
  <c r="M16" i="4"/>
  <c r="M22" i="4" s="1"/>
  <c r="L16" i="4"/>
  <c r="L22" i="4" s="1"/>
  <c r="K16" i="4"/>
  <c r="K22" i="4" s="1"/>
  <c r="K23" i="4" s="1"/>
  <c r="K15" i="9" s="1"/>
  <c r="J16" i="4"/>
  <c r="I16" i="4"/>
  <c r="I22" i="4" s="1"/>
  <c r="H16" i="4"/>
  <c r="H22" i="4" s="1"/>
  <c r="G16" i="4"/>
  <c r="G22" i="4" s="1"/>
  <c r="F16" i="4"/>
  <c r="E16" i="4"/>
  <c r="E22" i="4" s="1"/>
  <c r="D16" i="4"/>
  <c r="D22" i="4" s="1"/>
  <c r="C16" i="4"/>
  <c r="C22" i="4" s="1"/>
  <c r="C23" i="4" s="1"/>
  <c r="C15" i="9" s="1"/>
  <c r="B16" i="4"/>
  <c r="C15" i="4"/>
  <c r="C17" i="4" s="1"/>
  <c r="P12" i="4"/>
  <c r="O12" i="4"/>
  <c r="N12" i="4"/>
  <c r="M12" i="4"/>
  <c r="L12" i="4"/>
  <c r="K12" i="4"/>
  <c r="J12" i="4"/>
  <c r="I12" i="4"/>
  <c r="H12" i="4"/>
  <c r="G12" i="4"/>
  <c r="F12" i="4"/>
  <c r="E12" i="4"/>
  <c r="D12" i="4"/>
  <c r="C12" i="4"/>
  <c r="B12" i="4"/>
  <c r="N10" i="4"/>
  <c r="N14" i="4" s="1"/>
  <c r="N12" i="9" s="1"/>
  <c r="I10" i="4"/>
  <c r="I14" i="4" s="1"/>
  <c r="I12" i="9" s="1"/>
  <c r="P8" i="4"/>
  <c r="P15" i="4" s="1"/>
  <c r="P17" i="4" s="1"/>
  <c r="P13" i="9" s="1"/>
  <c r="O8" i="4"/>
  <c r="O15" i="4" s="1"/>
  <c r="O17" i="4" s="1"/>
  <c r="N8" i="4"/>
  <c r="N15" i="4" s="1"/>
  <c r="N17" i="4" s="1"/>
  <c r="M8" i="4"/>
  <c r="M15" i="4" s="1"/>
  <c r="M17" i="4" s="1"/>
  <c r="L8" i="4"/>
  <c r="L15" i="4" s="1"/>
  <c r="L17" i="4" s="1"/>
  <c r="L13" i="9" s="1"/>
  <c r="K8" i="4"/>
  <c r="K15" i="4" s="1"/>
  <c r="K17" i="4" s="1"/>
  <c r="J8" i="4"/>
  <c r="J15" i="4" s="1"/>
  <c r="J17" i="4" s="1"/>
  <c r="I8" i="4"/>
  <c r="I15" i="4" s="1"/>
  <c r="I17" i="4" s="1"/>
  <c r="H8" i="4"/>
  <c r="H15" i="4" s="1"/>
  <c r="H17" i="4" s="1"/>
  <c r="H13" i="9" s="1"/>
  <c r="G8" i="4"/>
  <c r="G15" i="4" s="1"/>
  <c r="G17" i="4" s="1"/>
  <c r="F8" i="4"/>
  <c r="F15" i="4" s="1"/>
  <c r="F17" i="4" s="1"/>
  <c r="E8" i="4"/>
  <c r="E15" i="4" s="1"/>
  <c r="E17" i="4" s="1"/>
  <c r="D8" i="4"/>
  <c r="D15" i="4" s="1"/>
  <c r="D17" i="4" s="1"/>
  <c r="D13" i="9" s="1"/>
  <c r="C8" i="4"/>
  <c r="B8" i="4"/>
  <c r="B15" i="4" s="1"/>
  <c r="B17" i="4" s="1"/>
  <c r="J7" i="4"/>
  <c r="J9" i="4" s="1"/>
  <c r="I6" i="4"/>
  <c r="I9" i="9" s="1"/>
  <c r="P5" i="4"/>
  <c r="P10" i="4" s="1"/>
  <c r="O5" i="4"/>
  <c r="O10" i="4" s="1"/>
  <c r="N5" i="4"/>
  <c r="M5" i="4"/>
  <c r="M10" i="4" s="1"/>
  <c r="M14" i="4" s="1"/>
  <c r="M12" i="9" s="1"/>
  <c r="L5" i="4"/>
  <c r="L10" i="4" s="1"/>
  <c r="K5" i="4"/>
  <c r="K10" i="4" s="1"/>
  <c r="J5" i="4"/>
  <c r="J10" i="4" s="1"/>
  <c r="J14" i="4" s="1"/>
  <c r="J12" i="9" s="1"/>
  <c r="I5" i="4"/>
  <c r="H5" i="4"/>
  <c r="H10" i="4" s="1"/>
  <c r="G5" i="4"/>
  <c r="G10" i="4" s="1"/>
  <c r="F5" i="4"/>
  <c r="F10" i="4" s="1"/>
  <c r="F14" i="4" s="1"/>
  <c r="F12" i="9" s="1"/>
  <c r="E5" i="4"/>
  <c r="E10" i="4" s="1"/>
  <c r="E14" i="4" s="1"/>
  <c r="E12" i="9" s="1"/>
  <c r="D5" i="4"/>
  <c r="D10" i="4" s="1"/>
  <c r="C5" i="4"/>
  <c r="C10" i="4" s="1"/>
  <c r="B5" i="4"/>
  <c r="B10" i="4" s="1"/>
  <c r="B14" i="4" s="1"/>
  <c r="B12" i="9" s="1"/>
  <c r="K4" i="4"/>
  <c r="J4" i="4"/>
  <c r="J13" i="4" s="1"/>
  <c r="J11" i="9" s="1"/>
  <c r="I4" i="4"/>
  <c r="I13" i="4" s="1"/>
  <c r="I11" i="9" s="1"/>
  <c r="H4" i="4"/>
  <c r="G4" i="4"/>
  <c r="G13" i="4" s="1"/>
  <c r="G11" i="9" s="1"/>
  <c r="C4" i="4"/>
  <c r="C13" i="4" s="1"/>
  <c r="C11" i="9" s="1"/>
  <c r="P13" i="6"/>
  <c r="O13" i="6"/>
  <c r="N13" i="6"/>
  <c r="M13" i="6"/>
  <c r="L13" i="6"/>
  <c r="K13" i="6"/>
  <c r="J13" i="6"/>
  <c r="I13" i="6"/>
  <c r="H13" i="6"/>
  <c r="G13" i="6"/>
  <c r="F13" i="6"/>
  <c r="E13" i="6"/>
  <c r="D13" i="6"/>
  <c r="C13" i="6"/>
  <c r="B13" i="6"/>
  <c r="J11" i="6"/>
  <c r="J12" i="6" s="1"/>
  <c r="J8" i="9" s="1"/>
  <c r="M10" i="6"/>
  <c r="M7" i="9" s="1"/>
  <c r="I10" i="6"/>
  <c r="I7" i="9" s="1"/>
  <c r="E10" i="6"/>
  <c r="P9" i="6"/>
  <c r="O9" i="6"/>
  <c r="O10" i="6" s="1"/>
  <c r="O7" i="9" s="1"/>
  <c r="N9" i="6"/>
  <c r="N10" i="6" s="1"/>
  <c r="N7" i="9" s="1"/>
  <c r="M9" i="6"/>
  <c r="L9" i="6"/>
  <c r="K9" i="6"/>
  <c r="K10" i="6" s="1"/>
  <c r="K7" i="9" s="1"/>
  <c r="J9" i="6"/>
  <c r="J10" i="6" s="1"/>
  <c r="J7" i="9" s="1"/>
  <c r="I9" i="6"/>
  <c r="H9" i="6"/>
  <c r="G9" i="6"/>
  <c r="G10" i="6" s="1"/>
  <c r="G7" i="9" s="1"/>
  <c r="F9" i="6"/>
  <c r="F10" i="6" s="1"/>
  <c r="E9" i="6"/>
  <c r="D9" i="6"/>
  <c r="C9" i="6"/>
  <c r="C10" i="6" s="1"/>
  <c r="B9" i="6"/>
  <c r="B10" i="6" s="1"/>
  <c r="P5" i="6"/>
  <c r="P6" i="6" s="1"/>
  <c r="P5" i="9" s="1"/>
  <c r="L5" i="6"/>
  <c r="L6" i="6" s="1"/>
  <c r="L5" i="9" s="1"/>
  <c r="H5" i="6"/>
  <c r="H6" i="6" s="1"/>
  <c r="H5" i="9" s="1"/>
  <c r="D5" i="6"/>
  <c r="D6" i="6" s="1"/>
  <c r="D5" i="9" s="1"/>
  <c r="P4" i="6"/>
  <c r="P4" i="9" s="1"/>
  <c r="O4" i="6"/>
  <c r="O4" i="9" s="1"/>
  <c r="N4" i="6"/>
  <c r="N4" i="9" s="1"/>
  <c r="M4" i="6"/>
  <c r="M4" i="9" s="1"/>
  <c r="L4" i="6"/>
  <c r="L4" i="9" s="1"/>
  <c r="K4" i="6"/>
  <c r="K4" i="9" s="1"/>
  <c r="J4" i="6"/>
  <c r="J4" i="9" s="1"/>
  <c r="I4" i="6"/>
  <c r="I4" i="9" s="1"/>
  <c r="H4" i="6"/>
  <c r="H4" i="9" s="1"/>
  <c r="G4" i="6"/>
  <c r="G4" i="9" s="1"/>
  <c r="F4" i="6"/>
  <c r="F4" i="9" s="1"/>
  <c r="E4" i="6"/>
  <c r="E4" i="9" s="1"/>
  <c r="D4" i="6"/>
  <c r="D4" i="9" s="1"/>
  <c r="C4" i="6"/>
  <c r="C4" i="9" s="1"/>
  <c r="B4" i="6"/>
  <c r="B4" i="9" s="1"/>
  <c r="P30" i="2"/>
  <c r="P10" i="5" s="1"/>
  <c r="P11" i="5" s="1"/>
  <c r="P27" i="9" s="1"/>
  <c r="O30" i="2"/>
  <c r="O10" i="5" s="1"/>
  <c r="O11" i="5" s="1"/>
  <c r="O27" i="9" s="1"/>
  <c r="N30" i="2"/>
  <c r="N10" i="5" s="1"/>
  <c r="N11" i="5" s="1"/>
  <c r="N27" i="9" s="1"/>
  <c r="M30" i="2"/>
  <c r="M10" i="5" s="1"/>
  <c r="M11" i="5" s="1"/>
  <c r="M27" i="9" s="1"/>
  <c r="L30" i="2"/>
  <c r="L10" i="5" s="1"/>
  <c r="L11" i="5" s="1"/>
  <c r="L27" i="9" s="1"/>
  <c r="K30" i="2"/>
  <c r="K10" i="5" s="1"/>
  <c r="K11" i="5" s="1"/>
  <c r="K27" i="9" s="1"/>
  <c r="J30" i="2"/>
  <c r="J10" i="5" s="1"/>
  <c r="J11" i="5" s="1"/>
  <c r="J27" i="9" s="1"/>
  <c r="I30" i="2"/>
  <c r="I10" i="5" s="1"/>
  <c r="I11" i="5" s="1"/>
  <c r="I27" i="9" s="1"/>
  <c r="H30" i="2"/>
  <c r="H10" i="5" s="1"/>
  <c r="H11" i="5" s="1"/>
  <c r="H27" i="9" s="1"/>
  <c r="G30" i="2"/>
  <c r="G10" i="5" s="1"/>
  <c r="G11" i="5" s="1"/>
  <c r="G27" i="9" s="1"/>
  <c r="F30" i="2"/>
  <c r="F10" i="5" s="1"/>
  <c r="F11" i="5" s="1"/>
  <c r="F27" i="9" s="1"/>
  <c r="E30" i="2"/>
  <c r="E10" i="5" s="1"/>
  <c r="E11" i="5" s="1"/>
  <c r="E27" i="9" s="1"/>
  <c r="D30" i="2"/>
  <c r="D10" i="5" s="1"/>
  <c r="D11" i="5" s="1"/>
  <c r="D27" i="9" s="1"/>
  <c r="C30" i="2"/>
  <c r="C10" i="5" s="1"/>
  <c r="C11" i="5" s="1"/>
  <c r="C27" i="9" s="1"/>
  <c r="B30" i="2"/>
  <c r="B10" i="5" s="1"/>
  <c r="B11" i="5" s="1"/>
  <c r="B27" i="9" s="1"/>
  <c r="P29" i="2"/>
  <c r="P7" i="5" s="1"/>
  <c r="O29" i="2"/>
  <c r="O7" i="5" s="1"/>
  <c r="N29" i="2"/>
  <c r="N7" i="5" s="1"/>
  <c r="M29" i="2"/>
  <c r="M7" i="5" s="1"/>
  <c r="L29" i="2"/>
  <c r="K29" i="2"/>
  <c r="K7" i="5" s="1"/>
  <c r="J29" i="2"/>
  <c r="J7" i="5" s="1"/>
  <c r="I29" i="2"/>
  <c r="I7" i="5" s="1"/>
  <c r="H29" i="2"/>
  <c r="H7" i="5" s="1"/>
  <c r="G29" i="2"/>
  <c r="F29" i="2"/>
  <c r="F7" i="5" s="1"/>
  <c r="E29" i="2"/>
  <c r="E7" i="5" s="1"/>
  <c r="D29" i="2"/>
  <c r="D7" i="5" s="1"/>
  <c r="C29" i="2"/>
  <c r="C7" i="5" s="1"/>
  <c r="B29" i="2"/>
  <c r="P28" i="2"/>
  <c r="O28" i="2"/>
  <c r="N28" i="2"/>
  <c r="M28" i="2"/>
  <c r="L28" i="2"/>
  <c r="K28" i="2"/>
  <c r="J28" i="2"/>
  <c r="I28" i="2"/>
  <c r="H28" i="2"/>
  <c r="G28" i="2"/>
  <c r="F28" i="2"/>
  <c r="E28" i="2"/>
  <c r="D28" i="2"/>
  <c r="C28" i="2"/>
  <c r="B28" i="2"/>
  <c r="P24" i="2"/>
  <c r="P5" i="5" s="1"/>
  <c r="O24" i="2"/>
  <c r="O5" i="5" s="1"/>
  <c r="O6" i="5" s="1"/>
  <c r="O23" i="9" s="1"/>
  <c r="N24" i="2"/>
  <c r="N5" i="5" s="1"/>
  <c r="M24" i="2"/>
  <c r="M5" i="5" s="1"/>
  <c r="M6" i="5" s="1"/>
  <c r="M23" i="9" s="1"/>
  <c r="L24" i="2"/>
  <c r="L5" i="5" s="1"/>
  <c r="L6" i="5" s="1"/>
  <c r="K24" i="2"/>
  <c r="K5" i="5" s="1"/>
  <c r="J24" i="2"/>
  <c r="J5" i="5" s="1"/>
  <c r="I24" i="2"/>
  <c r="I5" i="5" s="1"/>
  <c r="H24" i="2"/>
  <c r="H5" i="5" s="1"/>
  <c r="G24" i="2"/>
  <c r="G5" i="5" s="1"/>
  <c r="F23" i="2"/>
  <c r="E23" i="2"/>
  <c r="D23" i="2"/>
  <c r="C23" i="2"/>
  <c r="B23" i="2"/>
  <c r="P20" i="2"/>
  <c r="K20" i="2"/>
  <c r="J20" i="2"/>
  <c r="F20" i="2"/>
  <c r="E20" i="2"/>
  <c r="D20" i="2"/>
  <c r="C20" i="2"/>
  <c r="B20" i="2"/>
  <c r="P12" i="2"/>
  <c r="P14" i="6" s="1"/>
  <c r="P15" i="6" s="1"/>
  <c r="P24" i="9" s="1"/>
  <c r="L12" i="2"/>
  <c r="L14" i="6" s="1"/>
  <c r="L15" i="6" s="1"/>
  <c r="L24" i="9" s="1"/>
  <c r="H12" i="2"/>
  <c r="D12" i="2"/>
  <c r="P6" i="2"/>
  <c r="O6" i="2"/>
  <c r="O5" i="6" s="1"/>
  <c r="O6" i="6" s="1"/>
  <c r="O5" i="9" s="1"/>
  <c r="N6" i="2"/>
  <c r="N5" i="6" s="1"/>
  <c r="N6" i="6" s="1"/>
  <c r="N5" i="9" s="1"/>
  <c r="M6" i="2"/>
  <c r="M5" i="6" s="1"/>
  <c r="M6" i="6" s="1"/>
  <c r="M5" i="9" s="1"/>
  <c r="L6" i="2"/>
  <c r="K6" i="2"/>
  <c r="K5" i="6" s="1"/>
  <c r="K6" i="6" s="1"/>
  <c r="K5" i="9" s="1"/>
  <c r="J6" i="2"/>
  <c r="J5" i="6" s="1"/>
  <c r="J6" i="6" s="1"/>
  <c r="J5" i="9" s="1"/>
  <c r="I6" i="2"/>
  <c r="I5" i="6" s="1"/>
  <c r="I6" i="6" s="1"/>
  <c r="I5" i="9" s="1"/>
  <c r="H6" i="2"/>
  <c r="G6" i="2"/>
  <c r="G5" i="6" s="1"/>
  <c r="G6" i="6" s="1"/>
  <c r="G5" i="9" s="1"/>
  <c r="D14" i="11" s="1"/>
  <c r="F6" i="2"/>
  <c r="F5" i="6" s="1"/>
  <c r="F6" i="6" s="1"/>
  <c r="F5" i="9" s="1"/>
  <c r="E6" i="2"/>
  <c r="E5" i="6" s="1"/>
  <c r="E6" i="6" s="1"/>
  <c r="E5" i="9" s="1"/>
  <c r="D6" i="2"/>
  <c r="C6" i="2"/>
  <c r="C5" i="6" s="1"/>
  <c r="C6" i="6" s="1"/>
  <c r="C5" i="9" s="1"/>
  <c r="B6" i="2"/>
  <c r="B5" i="6" s="1"/>
  <c r="B6" i="6" s="1"/>
  <c r="B5" i="9" s="1"/>
  <c r="N33" i="1"/>
  <c r="J33" i="1"/>
  <c r="F33" i="1"/>
  <c r="B33" i="1"/>
  <c r="P28" i="1"/>
  <c r="O28" i="1"/>
  <c r="N28" i="1"/>
  <c r="M28" i="1"/>
  <c r="L28" i="1"/>
  <c r="K28" i="1"/>
  <c r="J28" i="1"/>
  <c r="I28" i="1"/>
  <c r="H28" i="1"/>
  <c r="G28" i="1"/>
  <c r="F28" i="1"/>
  <c r="E28" i="1"/>
  <c r="D28" i="1"/>
  <c r="C28" i="1"/>
  <c r="B28" i="1"/>
  <c r="P26" i="1"/>
  <c r="O26" i="1"/>
  <c r="O7" i="10" s="1"/>
  <c r="N26" i="1"/>
  <c r="M26" i="1"/>
  <c r="M33" i="1" s="1"/>
  <c r="L26" i="1"/>
  <c r="K26" i="1"/>
  <c r="J26" i="1"/>
  <c r="I26" i="1"/>
  <c r="I33" i="1" s="1"/>
  <c r="H26" i="1"/>
  <c r="G26" i="1"/>
  <c r="G7" i="10" s="1"/>
  <c r="F26" i="1"/>
  <c r="E26" i="1"/>
  <c r="E33" i="1" s="1"/>
  <c r="D26" i="1"/>
  <c r="C26" i="1"/>
  <c r="B26" i="1"/>
  <c r="P24" i="1"/>
  <c r="O24" i="1"/>
  <c r="N24" i="1"/>
  <c r="M24" i="1"/>
  <c r="L24" i="1"/>
  <c r="K24" i="1"/>
  <c r="J24" i="1"/>
  <c r="I24" i="1"/>
  <c r="H24" i="1"/>
  <c r="G24" i="1"/>
  <c r="F24" i="1"/>
  <c r="E24" i="1"/>
  <c r="D24" i="1"/>
  <c r="C24" i="1"/>
  <c r="B24" i="1"/>
  <c r="P20" i="1"/>
  <c r="O20" i="1"/>
  <c r="N20" i="1"/>
  <c r="M20" i="1"/>
  <c r="L20" i="1"/>
  <c r="K20" i="1"/>
  <c r="J20" i="1"/>
  <c r="I20" i="1"/>
  <c r="H20" i="1"/>
  <c r="G20" i="1"/>
  <c r="F20" i="1"/>
  <c r="E20" i="1"/>
  <c r="D20" i="1"/>
  <c r="C20" i="1"/>
  <c r="B20" i="1"/>
  <c r="M17" i="1"/>
  <c r="M11" i="6" s="1"/>
  <c r="M12" i="6" s="1"/>
  <c r="M8" i="9" s="1"/>
  <c r="K17" i="1"/>
  <c r="K11" i="6" s="1"/>
  <c r="K12" i="6" s="1"/>
  <c r="K8" i="9" s="1"/>
  <c r="J17" i="1"/>
  <c r="J26" i="4" s="1"/>
  <c r="J27" i="4" s="1"/>
  <c r="J17" i="9" s="1"/>
  <c r="I17" i="1"/>
  <c r="H17" i="1"/>
  <c r="G17" i="1"/>
  <c r="G11" i="6" s="1"/>
  <c r="G12" i="6" s="1"/>
  <c r="G8" i="9" s="1"/>
  <c r="E17" i="1"/>
  <c r="E11" i="6" s="1"/>
  <c r="E12" i="6" s="1"/>
  <c r="E8" i="9" s="1"/>
  <c r="P15" i="1"/>
  <c r="O15" i="1"/>
  <c r="N15" i="1"/>
  <c r="M15" i="1"/>
  <c r="L15" i="1"/>
  <c r="K15" i="1"/>
  <c r="J15" i="1"/>
  <c r="I15" i="1"/>
  <c r="H15" i="1"/>
  <c r="G15" i="1"/>
  <c r="F15" i="1"/>
  <c r="E15" i="1"/>
  <c r="D15" i="1"/>
  <c r="C15" i="1"/>
  <c r="B15" i="1"/>
  <c r="P10" i="1"/>
  <c r="P17" i="1" s="1"/>
  <c r="O10" i="1"/>
  <c r="N10" i="1"/>
  <c r="M10" i="1"/>
  <c r="L10" i="1"/>
  <c r="L17" i="1" s="1"/>
  <c r="F10" i="1"/>
  <c r="F17" i="1" s="1"/>
  <c r="E10" i="1"/>
  <c r="E4" i="4" s="1"/>
  <c r="D10" i="1"/>
  <c r="D4" i="4" s="1"/>
  <c r="C10" i="1"/>
  <c r="C17" i="1" s="1"/>
  <c r="B10" i="1"/>
  <c r="B17" i="1" s="1"/>
  <c r="K6" i="1"/>
  <c r="J6" i="1"/>
  <c r="I6" i="1"/>
  <c r="H6" i="1"/>
  <c r="G6" i="1"/>
  <c r="F23" i="13" l="1"/>
  <c r="E13" i="9"/>
  <c r="C7" i="9"/>
  <c r="C4" i="15"/>
  <c r="D5" i="11"/>
  <c r="I13" i="9"/>
  <c r="E13" i="4"/>
  <c r="E11" i="9" s="1"/>
  <c r="E4" i="10" s="1"/>
  <c r="E7" i="4"/>
  <c r="E9" i="4" s="1"/>
  <c r="E11" i="4" s="1"/>
  <c r="E10" i="9" s="1"/>
  <c r="E6" i="4"/>
  <c r="E9" i="9" s="1"/>
  <c r="B8" i="10"/>
  <c r="B5" i="10"/>
  <c r="B6" i="15"/>
  <c r="B10" i="7"/>
  <c r="B26" i="4"/>
  <c r="B27" i="4" s="1"/>
  <c r="B11" i="6"/>
  <c r="B12" i="6" s="1"/>
  <c r="B8" i="9" s="1"/>
  <c r="F8" i="10"/>
  <c r="F5" i="10"/>
  <c r="F6" i="15"/>
  <c r="F10" i="7"/>
  <c r="F11" i="6"/>
  <c r="F12" i="6" s="1"/>
  <c r="F8" i="9" s="1"/>
  <c r="F26" i="4"/>
  <c r="F27" i="4" s="1"/>
  <c r="B14" i="11"/>
  <c r="F14" i="11"/>
  <c r="G13" i="9"/>
  <c r="G24" i="4"/>
  <c r="G16" i="9" s="1"/>
  <c r="K13" i="9"/>
  <c r="K24" i="4"/>
  <c r="K16" i="9" s="1"/>
  <c r="O13" i="9"/>
  <c r="O24" i="4"/>
  <c r="O16" i="9" s="1"/>
  <c r="D7" i="4"/>
  <c r="D9" i="4" s="1"/>
  <c r="D11" i="4" s="1"/>
  <c r="D10" i="9" s="1"/>
  <c r="D13" i="4"/>
  <c r="D11" i="9" s="1"/>
  <c r="D6" i="4"/>
  <c r="D9" i="9" s="1"/>
  <c r="C5" i="10"/>
  <c r="C8" i="10"/>
  <c r="C10" i="7"/>
  <c r="C6" i="15"/>
  <c r="C26" i="4"/>
  <c r="C27" i="4" s="1"/>
  <c r="C11" i="6"/>
  <c r="C12" i="6" s="1"/>
  <c r="C8" i="9" s="1"/>
  <c r="L8" i="10"/>
  <c r="L5" i="10"/>
  <c r="L26" i="4"/>
  <c r="L10" i="7"/>
  <c r="L11" i="6"/>
  <c r="L12" i="6" s="1"/>
  <c r="L8" i="9" s="1"/>
  <c r="P8" i="10"/>
  <c r="P5" i="10"/>
  <c r="P10" i="7"/>
  <c r="P26" i="4"/>
  <c r="P27" i="4" s="1"/>
  <c r="P17" i="9" s="1"/>
  <c r="P11" i="6"/>
  <c r="P12" i="6" s="1"/>
  <c r="P8" i="9" s="1"/>
  <c r="B7" i="9"/>
  <c r="B4" i="15"/>
  <c r="F7" i="9"/>
  <c r="F4" i="15"/>
  <c r="M13" i="9"/>
  <c r="I8" i="10"/>
  <c r="I4" i="10"/>
  <c r="I5" i="10"/>
  <c r="I10" i="7"/>
  <c r="I26" i="4"/>
  <c r="D7" i="10"/>
  <c r="D7" i="7"/>
  <c r="D6" i="10"/>
  <c r="D4" i="7"/>
  <c r="D6" i="7" s="1"/>
  <c r="D19" i="9" s="1"/>
  <c r="H6" i="10"/>
  <c r="H4" i="7"/>
  <c r="H6" i="7" s="1"/>
  <c r="H19" i="9" s="1"/>
  <c r="G14" i="5"/>
  <c r="G29" i="9" s="1"/>
  <c r="G6" i="5"/>
  <c r="G23" i="9" s="1"/>
  <c r="E25" i="9"/>
  <c r="E9" i="5"/>
  <c r="E26" i="9" s="1"/>
  <c r="E7" i="9"/>
  <c r="E4" i="15"/>
  <c r="D17" i="1"/>
  <c r="H8" i="10"/>
  <c r="H4" i="10"/>
  <c r="H5" i="10"/>
  <c r="H10" i="7"/>
  <c r="H26" i="4"/>
  <c r="H27" i="4" s="1"/>
  <c r="H17" i="9" s="1"/>
  <c r="C7" i="10"/>
  <c r="C7" i="7"/>
  <c r="K7" i="10"/>
  <c r="K7" i="7"/>
  <c r="C12" i="2"/>
  <c r="G12" i="2"/>
  <c r="K12" i="2"/>
  <c r="O12" i="2"/>
  <c r="D14" i="2"/>
  <c r="D16" i="2" s="1"/>
  <c r="D17" i="2" s="1"/>
  <c r="H14" i="2"/>
  <c r="H16" i="2" s="1"/>
  <c r="H18" i="2" s="1"/>
  <c r="H20" i="2" s="1"/>
  <c r="L14" i="2"/>
  <c r="L16" i="2" s="1"/>
  <c r="L18" i="2" s="1"/>
  <c r="L21" i="2" s="1"/>
  <c r="P14" i="2"/>
  <c r="P16" i="2" s="1"/>
  <c r="P18" i="2" s="1"/>
  <c r="P21" i="2" s="1"/>
  <c r="J14" i="5"/>
  <c r="J29" i="9" s="1"/>
  <c r="J6" i="5"/>
  <c r="J23" i="9" s="1"/>
  <c r="N15" i="5"/>
  <c r="N6" i="5"/>
  <c r="N23" i="9" s="1"/>
  <c r="D25" i="9"/>
  <c r="D9" i="5"/>
  <c r="D26" i="9" s="1"/>
  <c r="H25" i="9"/>
  <c r="H9" i="5"/>
  <c r="H26" i="9" s="1"/>
  <c r="D16" i="8"/>
  <c r="D18" i="8" s="1"/>
  <c r="D20" i="8" s="1"/>
  <c r="L7" i="5"/>
  <c r="P25" i="9"/>
  <c r="P9" i="5"/>
  <c r="P26" i="9" s="1"/>
  <c r="D10" i="6"/>
  <c r="H10" i="6"/>
  <c r="H7" i="9" s="1"/>
  <c r="L10" i="6"/>
  <c r="L7" i="9" s="1"/>
  <c r="P10" i="6"/>
  <c r="P7" i="9" s="1"/>
  <c r="I11" i="6"/>
  <c r="I12" i="6" s="1"/>
  <c r="I8" i="9" s="1"/>
  <c r="D14" i="6"/>
  <c r="D15" i="6" s="1"/>
  <c r="D24" i="9" s="1"/>
  <c r="H14" i="6"/>
  <c r="H15" i="6" s="1"/>
  <c r="H24" i="9" s="1"/>
  <c r="B4" i="4"/>
  <c r="F4" i="4"/>
  <c r="N4" i="4"/>
  <c r="H6" i="4"/>
  <c r="H9" i="9" s="1"/>
  <c r="C7" i="4"/>
  <c r="C9" i="4" s="1"/>
  <c r="C11" i="4" s="1"/>
  <c r="C10" i="9" s="1"/>
  <c r="I7" i="4"/>
  <c r="I9" i="4" s="1"/>
  <c r="I11" i="4" s="1"/>
  <c r="I10" i="9" s="1"/>
  <c r="C14" i="4"/>
  <c r="C12" i="9" s="1"/>
  <c r="G14" i="4"/>
  <c r="G12" i="9" s="1"/>
  <c r="K14" i="4"/>
  <c r="K12" i="9" s="1"/>
  <c r="O14" i="4"/>
  <c r="O12" i="9" s="1"/>
  <c r="E23" i="4"/>
  <c r="E15" i="9" s="1"/>
  <c r="I23" i="4"/>
  <c r="I15" i="9" s="1"/>
  <c r="M23" i="4"/>
  <c r="M15" i="9" s="1"/>
  <c r="O7" i="7"/>
  <c r="B23" i="9"/>
  <c r="B8" i="15"/>
  <c r="F23" i="9"/>
  <c r="F8" i="15"/>
  <c r="K13" i="4"/>
  <c r="K11" i="9" s="1"/>
  <c r="K6" i="4"/>
  <c r="K9" i="9" s="1"/>
  <c r="O4" i="4"/>
  <c r="J11" i="4"/>
  <c r="J10" i="9" s="1"/>
  <c r="D14" i="4"/>
  <c r="D12" i="9" s="1"/>
  <c r="H14" i="4"/>
  <c r="H12" i="9" s="1"/>
  <c r="L14" i="4"/>
  <c r="L12" i="9" s="1"/>
  <c r="P14" i="4"/>
  <c r="P12" i="9" s="1"/>
  <c r="C13" i="9"/>
  <c r="C24" i="4"/>
  <c r="C16" i="9" s="1"/>
  <c r="E8" i="10"/>
  <c r="E5" i="10"/>
  <c r="E10" i="7"/>
  <c r="E6" i="15"/>
  <c r="E26" i="4"/>
  <c r="L7" i="10"/>
  <c r="L7" i="7"/>
  <c r="L6" i="10"/>
  <c r="L4" i="7"/>
  <c r="L6" i="7" s="1"/>
  <c r="L19" i="9" s="1"/>
  <c r="K14" i="5"/>
  <c r="K29" i="9" s="1"/>
  <c r="K6" i="5"/>
  <c r="K23" i="9" s="1"/>
  <c r="I25" i="9"/>
  <c r="I9" i="5"/>
  <c r="I26" i="9" s="1"/>
  <c r="C4" i="10"/>
  <c r="L4" i="10"/>
  <c r="P4" i="10"/>
  <c r="J8" i="10"/>
  <c r="J4" i="10"/>
  <c r="J5" i="10"/>
  <c r="J10" i="7"/>
  <c r="N17" i="1"/>
  <c r="N4" i="10" s="1"/>
  <c r="E7" i="10"/>
  <c r="E7" i="7"/>
  <c r="I7" i="10"/>
  <c r="I7" i="7"/>
  <c r="M7" i="10"/>
  <c r="M7" i="7"/>
  <c r="C33" i="1"/>
  <c r="G33" i="1"/>
  <c r="K33" i="1"/>
  <c r="O33" i="1"/>
  <c r="E12" i="2"/>
  <c r="I12" i="2"/>
  <c r="M12" i="2"/>
  <c r="H14" i="5"/>
  <c r="H29" i="9" s="1"/>
  <c r="H6" i="5"/>
  <c r="H23" i="9" s="1"/>
  <c r="L23" i="9"/>
  <c r="L17" i="5"/>
  <c r="L32" i="9" s="1"/>
  <c r="P15" i="5"/>
  <c r="P6" i="5"/>
  <c r="P23" i="9" s="1"/>
  <c r="B16" i="8"/>
  <c r="B18" i="8" s="1"/>
  <c r="B20" i="8" s="1"/>
  <c r="B7" i="5"/>
  <c r="F25" i="9"/>
  <c r="F9" i="5"/>
  <c r="F26" i="9" s="1"/>
  <c r="J25" i="9"/>
  <c r="J9" i="5"/>
  <c r="J26" i="9" s="1"/>
  <c r="N25" i="9"/>
  <c r="N9" i="5"/>
  <c r="N26" i="9" s="1"/>
  <c r="H7" i="4"/>
  <c r="H9" i="4" s="1"/>
  <c r="H11" i="4" s="1"/>
  <c r="H10" i="9" s="1"/>
  <c r="H13" i="4"/>
  <c r="H11" i="9" s="1"/>
  <c r="L4" i="4"/>
  <c r="P4" i="4"/>
  <c r="J6" i="4"/>
  <c r="J9" i="9" s="1"/>
  <c r="K7" i="4"/>
  <c r="K9" i="4" s="1"/>
  <c r="K11" i="4" s="1"/>
  <c r="K10" i="9" s="1"/>
  <c r="B13" i="9"/>
  <c r="B24" i="4"/>
  <c r="B16" i="9" s="1"/>
  <c r="F13" i="9"/>
  <c r="F24" i="4"/>
  <c r="F16" i="9" s="1"/>
  <c r="J13" i="9"/>
  <c r="J24" i="4"/>
  <c r="J16" i="9" s="1"/>
  <c r="N13" i="9"/>
  <c r="N24" i="4"/>
  <c r="N16" i="9" s="1"/>
  <c r="L27" i="4"/>
  <c r="L17" i="9" s="1"/>
  <c r="D23" i="9"/>
  <c r="D8" i="15"/>
  <c r="M8" i="10"/>
  <c r="M5" i="10"/>
  <c r="M10" i="7"/>
  <c r="M26" i="4"/>
  <c r="H7" i="10"/>
  <c r="H7" i="7"/>
  <c r="P7" i="10"/>
  <c r="P7" i="7"/>
  <c r="P6" i="10"/>
  <c r="P4" i="7"/>
  <c r="P6" i="7" s="1"/>
  <c r="P19" i="9" s="1"/>
  <c r="M25" i="9"/>
  <c r="M9" i="5"/>
  <c r="M26" i="9" s="1"/>
  <c r="M4" i="10"/>
  <c r="G5" i="10"/>
  <c r="G4" i="10"/>
  <c r="G8" i="10"/>
  <c r="G10" i="7"/>
  <c r="G26" i="4"/>
  <c r="G27" i="4" s="1"/>
  <c r="G17" i="9" s="1"/>
  <c r="K5" i="10"/>
  <c r="K4" i="10"/>
  <c r="K8" i="10"/>
  <c r="K10" i="7"/>
  <c r="K26" i="4"/>
  <c r="K27" i="4" s="1"/>
  <c r="K17" i="9" s="1"/>
  <c r="O17" i="1"/>
  <c r="B7" i="10"/>
  <c r="B7" i="7"/>
  <c r="F7" i="10"/>
  <c r="F7" i="7"/>
  <c r="J7" i="10"/>
  <c r="J7" i="7"/>
  <c r="N7" i="10"/>
  <c r="N7" i="7"/>
  <c r="D33" i="1"/>
  <c r="H33" i="1"/>
  <c r="L33" i="1"/>
  <c r="P33" i="1"/>
  <c r="B12" i="2"/>
  <c r="F12" i="2"/>
  <c r="J12" i="2"/>
  <c r="N12" i="2"/>
  <c r="I6" i="5"/>
  <c r="I23" i="9" s="1"/>
  <c r="I14" i="5"/>
  <c r="I29" i="9" s="1"/>
  <c r="C25" i="9"/>
  <c r="C9" i="5"/>
  <c r="C26" i="9" s="1"/>
  <c r="C16" i="8"/>
  <c r="C18" i="8" s="1"/>
  <c r="C20" i="8" s="1"/>
  <c r="G7" i="5"/>
  <c r="K25" i="9"/>
  <c r="K9" i="5"/>
  <c r="K26" i="9" s="1"/>
  <c r="O25" i="9"/>
  <c r="O9" i="5"/>
  <c r="O26" i="9" s="1"/>
  <c r="D7" i="6"/>
  <c r="D8" i="6" s="1"/>
  <c r="D6" i="9" s="1"/>
  <c r="H7" i="6"/>
  <c r="H8" i="6" s="1"/>
  <c r="H6" i="9" s="1"/>
  <c r="L7" i="6"/>
  <c r="L8" i="6" s="1"/>
  <c r="L6" i="9" s="1"/>
  <c r="P7" i="6"/>
  <c r="P8" i="6" s="1"/>
  <c r="P6" i="9" s="1"/>
  <c r="H11" i="6"/>
  <c r="H12" i="6" s="1"/>
  <c r="H8" i="9" s="1"/>
  <c r="D7" i="11" s="1"/>
  <c r="M4" i="4"/>
  <c r="C6" i="4"/>
  <c r="C9" i="9" s="1"/>
  <c r="G6" i="4"/>
  <c r="G9" i="9" s="1"/>
  <c r="D11" i="11" s="1"/>
  <c r="G7" i="4"/>
  <c r="G9" i="4" s="1"/>
  <c r="G11" i="4" s="1"/>
  <c r="G10" i="9" s="1"/>
  <c r="D23" i="4"/>
  <c r="D15" i="9" s="1"/>
  <c r="H23" i="4"/>
  <c r="L23" i="4"/>
  <c r="L15" i="9" s="1"/>
  <c r="P23" i="4"/>
  <c r="P15" i="9" s="1"/>
  <c r="E27" i="4"/>
  <c r="E29" i="4"/>
  <c r="E18" i="9" s="1"/>
  <c r="I27" i="4"/>
  <c r="I17" i="9" s="1"/>
  <c r="I29" i="4"/>
  <c r="I18" i="9" s="1"/>
  <c r="M27" i="4"/>
  <c r="M17" i="9" s="1"/>
  <c r="M29" i="4"/>
  <c r="M18" i="9" s="1"/>
  <c r="G7" i="7"/>
  <c r="B30" i="9"/>
  <c r="B16" i="5"/>
  <c r="F30" i="9"/>
  <c r="F16" i="5"/>
  <c r="J15" i="5"/>
  <c r="C14" i="5"/>
  <c r="C29" i="9" s="1"/>
  <c r="C6" i="5"/>
  <c r="C13" i="5"/>
  <c r="C28" i="9" s="1"/>
  <c r="C15" i="5"/>
  <c r="G13" i="5"/>
  <c r="G28" i="9" s="1"/>
  <c r="G15" i="5"/>
  <c r="K13" i="5"/>
  <c r="K28" i="9" s="1"/>
  <c r="K15" i="5"/>
  <c r="O15" i="5"/>
  <c r="O13" i="5"/>
  <c r="O28" i="9" s="1"/>
  <c r="D30" i="9"/>
  <c r="D16" i="5"/>
  <c r="H15" i="5"/>
  <c r="E6" i="5"/>
  <c r="E14" i="5"/>
  <c r="E29" i="9" s="1"/>
  <c r="E15" i="5"/>
  <c r="E13" i="5"/>
  <c r="E28" i="9" s="1"/>
  <c r="I15" i="5"/>
  <c r="I13" i="5"/>
  <c r="I28" i="9" s="1"/>
  <c r="M15" i="5"/>
  <c r="M13" i="5"/>
  <c r="M28" i="9" s="1"/>
  <c r="D8" i="11"/>
  <c r="B5" i="13"/>
  <c r="F3" i="13" s="1"/>
  <c r="I16" i="12"/>
  <c r="B24" i="13"/>
  <c r="F21" i="13" s="1"/>
  <c r="B15" i="13"/>
  <c r="F12" i="13" s="1"/>
  <c r="I25" i="12"/>
  <c r="F5" i="11" l="1"/>
  <c r="F8" i="11" s="1"/>
  <c r="F7" i="11"/>
  <c r="E6" i="10"/>
  <c r="E4" i="7"/>
  <c r="E6" i="7" s="1"/>
  <c r="E19" i="9" s="1"/>
  <c r="E7" i="6"/>
  <c r="E8" i="6" s="1"/>
  <c r="E6" i="9" s="1"/>
  <c r="E14" i="6"/>
  <c r="E15" i="6" s="1"/>
  <c r="E24" i="9" s="1"/>
  <c r="E14" i="2"/>
  <c r="E16" i="2" s="1"/>
  <c r="E17" i="2" s="1"/>
  <c r="B31" i="9"/>
  <c r="B17" i="5"/>
  <c r="B32" i="9" s="1"/>
  <c r="H15" i="9"/>
  <c r="H24" i="4"/>
  <c r="H16" i="9" s="1"/>
  <c r="B6" i="10"/>
  <c r="B4" i="7"/>
  <c r="B6" i="7" s="1"/>
  <c r="B19" i="9" s="1"/>
  <c r="B14" i="6"/>
  <c r="B15" i="6" s="1"/>
  <c r="B24" i="9" s="1"/>
  <c r="B14" i="2"/>
  <c r="B16" i="2" s="1"/>
  <c r="B17" i="2" s="1"/>
  <c r="B7" i="6"/>
  <c r="B8" i="6" s="1"/>
  <c r="B6" i="9" s="1"/>
  <c r="F15" i="11"/>
  <c r="B25" i="9"/>
  <c r="B9" i="5"/>
  <c r="M6" i="10"/>
  <c r="M10" i="10" s="1"/>
  <c r="M14" i="2"/>
  <c r="M16" i="2" s="1"/>
  <c r="M18" i="2" s="1"/>
  <c r="M21" i="2" s="1"/>
  <c r="M4" i="7"/>
  <c r="M6" i="7" s="1"/>
  <c r="M19" i="9" s="1"/>
  <c r="M7" i="6"/>
  <c r="M8" i="6" s="1"/>
  <c r="M6" i="9" s="1"/>
  <c r="M14" i="6"/>
  <c r="M15" i="6" s="1"/>
  <c r="M24" i="9" s="1"/>
  <c r="J10" i="10"/>
  <c r="O9" i="7"/>
  <c r="O20" i="9" s="1"/>
  <c r="N13" i="4"/>
  <c r="N11" i="9" s="1"/>
  <c r="N6" i="4"/>
  <c r="N9" i="9" s="1"/>
  <c r="N7" i="4"/>
  <c r="N9" i="4" s="1"/>
  <c r="N11" i="4" s="1"/>
  <c r="N10" i="9" s="1"/>
  <c r="L25" i="9"/>
  <c r="L9" i="5"/>
  <c r="G6" i="10"/>
  <c r="G10" i="10" s="1"/>
  <c r="G4" i="7"/>
  <c r="G6" i="7" s="1"/>
  <c r="G19" i="9" s="1"/>
  <c r="G14" i="6"/>
  <c r="G15" i="6" s="1"/>
  <c r="G24" i="9" s="1"/>
  <c r="G14" i="2"/>
  <c r="G16" i="2" s="1"/>
  <c r="G18" i="2" s="1"/>
  <c r="G20" i="2" s="1"/>
  <c r="G7" i="6"/>
  <c r="G8" i="6" s="1"/>
  <c r="G6" i="9" s="1"/>
  <c r="C11" i="7"/>
  <c r="C21" i="9" s="1"/>
  <c r="C9" i="7"/>
  <c r="C20" i="9" s="1"/>
  <c r="I10" i="10"/>
  <c r="B17" i="9"/>
  <c r="B5" i="15"/>
  <c r="I24" i="4"/>
  <c r="I16" i="9" s="1"/>
  <c r="C7" i="15"/>
  <c r="C9" i="15" s="1"/>
  <c r="F31" i="9"/>
  <c r="F17" i="5"/>
  <c r="F32" i="9" s="1"/>
  <c r="J6" i="10"/>
  <c r="J4" i="7"/>
  <c r="J6" i="7" s="1"/>
  <c r="J19" i="9" s="1"/>
  <c r="J14" i="6"/>
  <c r="J15" i="6" s="1"/>
  <c r="J24" i="9" s="1"/>
  <c r="J14" i="2"/>
  <c r="J16" i="2" s="1"/>
  <c r="J7" i="6"/>
  <c r="J8" i="6" s="1"/>
  <c r="J6" i="9" s="1"/>
  <c r="P7" i="4"/>
  <c r="P9" i="4" s="1"/>
  <c r="P11" i="4" s="1"/>
  <c r="P10" i="9" s="1"/>
  <c r="P13" i="4"/>
  <c r="P11" i="9" s="1"/>
  <c r="P6" i="4"/>
  <c r="P9" i="9" s="1"/>
  <c r="P10" i="10"/>
  <c r="H30" i="9"/>
  <c r="H16" i="5"/>
  <c r="O30" i="9"/>
  <c r="O16" i="5"/>
  <c r="E17" i="9"/>
  <c r="E5" i="15"/>
  <c r="M30" i="9"/>
  <c r="M16" i="5"/>
  <c r="E30" i="9"/>
  <c r="E16" i="5"/>
  <c r="D31" i="9"/>
  <c r="D17" i="5"/>
  <c r="D32" i="9" s="1"/>
  <c r="K30" i="9"/>
  <c r="K16" i="5"/>
  <c r="C30" i="9"/>
  <c r="C16" i="5"/>
  <c r="J30" i="9"/>
  <c r="J16" i="5"/>
  <c r="P24" i="4"/>
  <c r="P16" i="9" s="1"/>
  <c r="M7" i="4"/>
  <c r="M9" i="4" s="1"/>
  <c r="M11" i="4" s="1"/>
  <c r="M10" i="9" s="1"/>
  <c r="M13" i="4"/>
  <c r="M11" i="9" s="1"/>
  <c r="M6" i="4"/>
  <c r="M9" i="9" s="1"/>
  <c r="N6" i="10"/>
  <c r="N4" i="7"/>
  <c r="N6" i="7" s="1"/>
  <c r="N19" i="9" s="1"/>
  <c r="N7" i="6"/>
  <c r="N8" i="6" s="1"/>
  <c r="N6" i="9" s="1"/>
  <c r="N14" i="6"/>
  <c r="N15" i="6" s="1"/>
  <c r="N24" i="9" s="1"/>
  <c r="N14" i="2"/>
  <c r="N16" i="2" s="1"/>
  <c r="N18" i="2" s="1"/>
  <c r="N21" i="2" s="1"/>
  <c r="N9" i="7"/>
  <c r="N20" i="9" s="1"/>
  <c r="F9" i="7"/>
  <c r="F20" i="9" s="1"/>
  <c r="F11" i="7"/>
  <c r="F21" i="9" s="1"/>
  <c r="O5" i="10"/>
  <c r="O8" i="10"/>
  <c r="O10" i="7"/>
  <c r="O11" i="7" s="1"/>
  <c r="O21" i="9" s="1"/>
  <c r="O26" i="4"/>
  <c r="O27" i="4" s="1"/>
  <c r="O17" i="9" s="1"/>
  <c r="O11" i="6"/>
  <c r="O12" i="6" s="1"/>
  <c r="O8" i="9" s="1"/>
  <c r="K10" i="10"/>
  <c r="P11" i="7"/>
  <c r="P21" i="9" s="1"/>
  <c r="P9" i="7"/>
  <c r="P20" i="9" s="1"/>
  <c r="I6" i="10"/>
  <c r="I14" i="6"/>
  <c r="I15" i="6" s="1"/>
  <c r="I24" i="9" s="1"/>
  <c r="I14" i="2"/>
  <c r="I16" i="2" s="1"/>
  <c r="I18" i="2" s="1"/>
  <c r="I20" i="2" s="1"/>
  <c r="I4" i="7"/>
  <c r="I6" i="7" s="1"/>
  <c r="I19" i="9" s="1"/>
  <c r="I7" i="6"/>
  <c r="I8" i="6" s="1"/>
  <c r="I6" i="9" s="1"/>
  <c r="I11" i="7"/>
  <c r="I21" i="9" s="1"/>
  <c r="I9" i="7"/>
  <c r="I20" i="9" s="1"/>
  <c r="N8" i="10"/>
  <c r="N5" i="10"/>
  <c r="N10" i="10" s="1"/>
  <c r="N10" i="7"/>
  <c r="N11" i="7" s="1"/>
  <c r="N21" i="9" s="1"/>
  <c r="N11" i="6"/>
  <c r="N12" i="6" s="1"/>
  <c r="N8" i="9" s="1"/>
  <c r="N26" i="4"/>
  <c r="N27" i="4" s="1"/>
  <c r="N17" i="9" s="1"/>
  <c r="O13" i="4"/>
  <c r="O11" i="9" s="1"/>
  <c r="O6" i="4"/>
  <c r="O9" i="9" s="1"/>
  <c r="O7" i="4"/>
  <c r="O9" i="4" s="1"/>
  <c r="O11" i="4" s="1"/>
  <c r="O10" i="9" s="1"/>
  <c r="D24" i="4"/>
  <c r="D16" i="9" s="1"/>
  <c r="F13" i="4"/>
  <c r="F11" i="9" s="1"/>
  <c r="F4" i="10" s="1"/>
  <c r="F7" i="4"/>
  <c r="F9" i="4" s="1"/>
  <c r="F11" i="4" s="1"/>
  <c r="F10" i="9" s="1"/>
  <c r="F6" i="4"/>
  <c r="F9" i="9" s="1"/>
  <c r="D7" i="9"/>
  <c r="D4" i="15"/>
  <c r="C6" i="10"/>
  <c r="C10" i="10" s="1"/>
  <c r="C4" i="7"/>
  <c r="C6" i="7" s="1"/>
  <c r="C19" i="9" s="1"/>
  <c r="C14" i="6"/>
  <c r="C15" i="6" s="1"/>
  <c r="C24" i="9" s="1"/>
  <c r="C14" i="2"/>
  <c r="C16" i="2" s="1"/>
  <c r="C17" i="2" s="1"/>
  <c r="C7" i="6"/>
  <c r="C8" i="6" s="1"/>
  <c r="C6" i="9" s="1"/>
  <c r="H10" i="10"/>
  <c r="E7" i="15"/>
  <c r="C17" i="9"/>
  <c r="C5" i="15"/>
  <c r="F17" i="9"/>
  <c r="F5" i="15"/>
  <c r="F7" i="15" s="1"/>
  <c r="F9" i="15" s="1"/>
  <c r="O6" i="10"/>
  <c r="O4" i="7"/>
  <c r="O6" i="7" s="1"/>
  <c r="O19" i="9" s="1"/>
  <c r="O14" i="6"/>
  <c r="O15" i="6" s="1"/>
  <c r="O24" i="9" s="1"/>
  <c r="O14" i="2"/>
  <c r="O16" i="2" s="1"/>
  <c r="O18" i="2" s="1"/>
  <c r="O21" i="2" s="1"/>
  <c r="O7" i="6"/>
  <c r="O8" i="6" s="1"/>
  <c r="O6" i="9" s="1"/>
  <c r="K11" i="7"/>
  <c r="K21" i="9" s="1"/>
  <c r="K9" i="7"/>
  <c r="K20" i="9" s="1"/>
  <c r="O4" i="10"/>
  <c r="E24" i="4"/>
  <c r="E16" i="9" s="1"/>
  <c r="G9" i="7"/>
  <c r="G20" i="9" s="1"/>
  <c r="G11" i="7"/>
  <c r="G21" i="9" s="1"/>
  <c r="B13" i="4"/>
  <c r="B11" i="9" s="1"/>
  <c r="B4" i="10" s="1"/>
  <c r="B10" i="10" s="1"/>
  <c r="B7" i="4"/>
  <c r="B9" i="4" s="1"/>
  <c r="B11" i="4" s="1"/>
  <c r="B10" i="9" s="1"/>
  <c r="B6" i="4"/>
  <c r="B9" i="9" s="1"/>
  <c r="B11" i="11" s="1"/>
  <c r="I30" i="9"/>
  <c r="I16" i="5"/>
  <c r="E23" i="9"/>
  <c r="E8" i="15"/>
  <c r="G30" i="9"/>
  <c r="G16" i="5"/>
  <c r="C23" i="9"/>
  <c r="C8" i="15"/>
  <c r="G25" i="9"/>
  <c r="G9" i="5"/>
  <c r="F6" i="10"/>
  <c r="F4" i="7"/>
  <c r="F6" i="7" s="1"/>
  <c r="F19" i="9" s="1"/>
  <c r="F7" i="6"/>
  <c r="F8" i="6" s="1"/>
  <c r="F6" i="9" s="1"/>
  <c r="F14" i="6"/>
  <c r="F15" i="6" s="1"/>
  <c r="F24" i="9" s="1"/>
  <c r="F14" i="2"/>
  <c r="F16" i="2" s="1"/>
  <c r="J9" i="7"/>
  <c r="J20" i="9" s="1"/>
  <c r="J11" i="7"/>
  <c r="J21" i="9" s="1"/>
  <c r="B9" i="7"/>
  <c r="B20" i="9" s="1"/>
  <c r="B10" i="11" s="1"/>
  <c r="B11" i="7"/>
  <c r="B21" i="9" s="1"/>
  <c r="D15" i="11"/>
  <c r="H11" i="7"/>
  <c r="H21" i="9" s="1"/>
  <c r="H9" i="7"/>
  <c r="H20" i="9" s="1"/>
  <c r="L24" i="4"/>
  <c r="L16" i="9" s="1"/>
  <c r="L7" i="4"/>
  <c r="L9" i="4" s="1"/>
  <c r="L11" i="4" s="1"/>
  <c r="L10" i="9" s="1"/>
  <c r="L13" i="4"/>
  <c r="L11" i="9" s="1"/>
  <c r="L6" i="4"/>
  <c r="L9" i="9" s="1"/>
  <c r="F11" i="11" s="1"/>
  <c r="P30" i="9"/>
  <c r="P16" i="5"/>
  <c r="M9" i="7"/>
  <c r="M20" i="9" s="1"/>
  <c r="M11" i="7"/>
  <c r="M21" i="9" s="1"/>
  <c r="E9" i="7"/>
  <c r="E20" i="9" s="1"/>
  <c r="E11" i="7"/>
  <c r="E21" i="9" s="1"/>
  <c r="L10" i="10"/>
  <c r="L11" i="7"/>
  <c r="L21" i="9" s="1"/>
  <c r="L9" i="7"/>
  <c r="L20" i="9" s="1"/>
  <c r="F10" i="11" s="1"/>
  <c r="N30" i="9"/>
  <c r="N16" i="5"/>
  <c r="K6" i="10"/>
  <c r="K4" i="7"/>
  <c r="K6" i="7" s="1"/>
  <c r="K19" i="9" s="1"/>
  <c r="K14" i="6"/>
  <c r="K15" i="6" s="1"/>
  <c r="K24" i="9" s="1"/>
  <c r="K14" i="2"/>
  <c r="K16" i="2" s="1"/>
  <c r="K7" i="6"/>
  <c r="K8" i="6" s="1"/>
  <c r="K6" i="9" s="1"/>
  <c r="D8" i="10"/>
  <c r="D5" i="10"/>
  <c r="D6" i="15"/>
  <c r="D26" i="4"/>
  <c r="D27" i="4" s="1"/>
  <c r="D11" i="6"/>
  <c r="D12" i="6" s="1"/>
  <c r="D8" i="9" s="1"/>
  <c r="D10" i="7"/>
  <c r="D11" i="7" s="1"/>
  <c r="D21" i="9" s="1"/>
  <c r="D9" i="7"/>
  <c r="D20" i="9" s="1"/>
  <c r="M24" i="4"/>
  <c r="M16" i="9" s="1"/>
  <c r="B7" i="15"/>
  <c r="B9" i="15" s="1"/>
  <c r="D4" i="10"/>
  <c r="B7" i="11"/>
  <c r="B5" i="11"/>
  <c r="B8" i="11" s="1"/>
  <c r="E10" i="10"/>
  <c r="L26" i="9" l="1"/>
  <c r="D4" i="8"/>
  <c r="D17" i="9"/>
  <c r="D5" i="15"/>
  <c r="C4" i="8"/>
  <c r="G26" i="9"/>
  <c r="G31" i="9"/>
  <c r="G17" i="5"/>
  <c r="G32" i="9" s="1"/>
  <c r="I31" i="9"/>
  <c r="I17" i="5"/>
  <c r="I32" i="9" s="1"/>
  <c r="O10" i="10"/>
  <c r="D7" i="15"/>
  <c r="D9" i="15" s="1"/>
  <c r="F10" i="10"/>
  <c r="C31" i="9"/>
  <c r="C17" i="5"/>
  <c r="C32" i="9" s="1"/>
  <c r="M31" i="9"/>
  <c r="M17" i="5"/>
  <c r="M32" i="9" s="1"/>
  <c r="O31" i="9"/>
  <c r="O17" i="5"/>
  <c r="O32" i="9" s="1"/>
  <c r="D10" i="10"/>
  <c r="N31" i="9"/>
  <c r="N17" i="5"/>
  <c r="N32" i="9" s="1"/>
  <c r="E9" i="15"/>
  <c r="B4" i="8"/>
  <c r="B26" i="9"/>
  <c r="P31" i="9"/>
  <c r="P17" i="5"/>
  <c r="P32" i="9" s="1"/>
  <c r="D10" i="11"/>
  <c r="J31" i="9"/>
  <c r="J17" i="5"/>
  <c r="J32" i="9" s="1"/>
  <c r="K31" i="9"/>
  <c r="K17" i="5"/>
  <c r="K32" i="9" s="1"/>
  <c r="E31" i="9"/>
  <c r="E17" i="5"/>
  <c r="E32" i="9" s="1"/>
  <c r="H31" i="9"/>
  <c r="H17" i="5"/>
  <c r="H32" i="9" s="1"/>
  <c r="B15" i="11"/>
  <c r="E4" i="8" l="1"/>
</calcChain>
</file>

<file path=xl/sharedStrings.xml><?xml version="1.0" encoding="utf-8"?>
<sst xmlns="http://schemas.openxmlformats.org/spreadsheetml/2006/main" count="537" uniqueCount="222">
  <si>
    <t>GM</t>
  </si>
  <si>
    <t>Ford</t>
  </si>
  <si>
    <t>Tesla</t>
  </si>
  <si>
    <t>Period Ending:</t>
  </si>
  <si>
    <t>31/12</t>
  </si>
  <si>
    <t>Revenue</t>
  </si>
  <si>
    <t>Cost of Goods Sold</t>
  </si>
  <si>
    <t>Gross Profit</t>
  </si>
  <si>
    <t>Research and Development Expenses</t>
  </si>
  <si>
    <t>SG&amp;A Expenses</t>
  </si>
  <si>
    <t>Other Operating Income or Expneses</t>
  </si>
  <si>
    <t>Operating Expenses</t>
  </si>
  <si>
    <t>Operating Income</t>
  </si>
  <si>
    <t>Total Non-Operating Income/Expense</t>
  </si>
  <si>
    <t>Pre-Tax Income</t>
  </si>
  <si>
    <t>Income Taxes</t>
  </si>
  <si>
    <t>Income After Taxes</t>
  </si>
  <si>
    <t>Income from Continuous Operations</t>
  </si>
  <si>
    <t>Income from Discontinued Operations</t>
  </si>
  <si>
    <t>EBITDA</t>
  </si>
  <si>
    <t>Basic Shares Outstanding</t>
  </si>
  <si>
    <t>Shares Outstanding</t>
  </si>
  <si>
    <t>Basic EPS</t>
  </si>
  <si>
    <t>EPS - Earnings Per Share</t>
  </si>
  <si>
    <t>Cash on hand</t>
  </si>
  <si>
    <t>Receivables</t>
  </si>
  <si>
    <t>Inventory</t>
  </si>
  <si>
    <t>Pre-paid Expneses</t>
  </si>
  <si>
    <t>Other Current Assets</t>
  </si>
  <si>
    <t>Total Current Assets</t>
  </si>
  <si>
    <t>Property, Plant, and Equipment</t>
  </si>
  <si>
    <t>Long-Term Investments</t>
  </si>
  <si>
    <t>Goodwill and Intangible Assets</t>
  </si>
  <si>
    <t>Other Long-Term Assets</t>
  </si>
  <si>
    <t>Total Long-Term Assets</t>
  </si>
  <si>
    <t>Total Assets</t>
  </si>
  <si>
    <t>Total Current Laibilities</t>
  </si>
  <si>
    <t>Long-Term Debt</t>
  </si>
  <si>
    <t>Other Non-Current Laibilities</t>
  </si>
  <si>
    <t>Total Long Term Liabilities</t>
  </si>
  <si>
    <t>Total Liabilities</t>
  </si>
  <si>
    <t>Common Stock Net</t>
  </si>
  <si>
    <t>Retained Earnings (Accumulated Deficit)</t>
  </si>
  <si>
    <t>Comprehensive Income</t>
  </si>
  <si>
    <t>Other Share Holders Equity</t>
  </si>
  <si>
    <t>Share Holder Equity</t>
  </si>
  <si>
    <t>Total Liabilities and Share Holders Equity</t>
  </si>
  <si>
    <t>Other receivables and deferred income taxes</t>
  </si>
  <si>
    <t>Postretirement benefits</t>
  </si>
  <si>
    <t>Paid-in capital and NCI</t>
  </si>
  <si>
    <t>Net Income/Loss</t>
  </si>
  <si>
    <t>Total Depreciation and Amortization - Cash Flow</t>
  </si>
  <si>
    <t>Other Non-Cash items</t>
  </si>
  <si>
    <t>Total Non-Cash items</t>
  </si>
  <si>
    <t>Change in Accounts Receivable</t>
  </si>
  <si>
    <t>Change in Inventories</t>
  </si>
  <si>
    <t>Change in Accounts Payable</t>
  </si>
  <si>
    <t>Change in Assets/Liabilities</t>
  </si>
  <si>
    <t>Cash Flow from Operating Activities</t>
  </si>
  <si>
    <t>Net Change in Property, Plant, and Equipment</t>
  </si>
  <si>
    <t>Net Change in Intangible Assets</t>
  </si>
  <si>
    <t>Net Acquisitions/Divestitures</t>
  </si>
  <si>
    <t>Net Change in Short-term Investments</t>
  </si>
  <si>
    <t>Net Change in Long-term Investments</t>
  </si>
  <si>
    <t>Net Change in Investments - Total</t>
  </si>
  <si>
    <t>Investing Activities - Other</t>
  </si>
  <si>
    <t>Cash Flow from Investing Activities</t>
  </si>
  <si>
    <t>Net Long-Term Debt</t>
  </si>
  <si>
    <t>Net Current Debt</t>
  </si>
  <si>
    <t>Debt Issuance/Retirement Net - Total</t>
  </si>
  <si>
    <t>Net Common Equity Issued/Repurchased</t>
  </si>
  <si>
    <t>Net Total Equity Issued/Repurchased</t>
  </si>
  <si>
    <t>Total Common and Preferred Stock Dividends Paid</t>
  </si>
  <si>
    <t>Financial Activities - Other</t>
  </si>
  <si>
    <t>Other Receivables</t>
  </si>
  <si>
    <t>Income attributable to NCI</t>
  </si>
  <si>
    <t>Other income</t>
  </si>
  <si>
    <t>Net Income attribbutable to stockholders</t>
  </si>
  <si>
    <t>Net Income attribbutable to common stockholders</t>
  </si>
  <si>
    <t>Preferred Dividends</t>
  </si>
  <si>
    <t>Total Change in Assests/Liablities</t>
  </si>
  <si>
    <t>Cash Flow From Financial Activities</t>
  </si>
  <si>
    <t>Net Cash Flow</t>
  </si>
  <si>
    <t>Common Stock Dividends Paid</t>
  </si>
  <si>
    <t>Buyout of NCI</t>
  </si>
  <si>
    <t>Restructuring and other costs</t>
  </si>
  <si>
    <t>Current Ratio</t>
  </si>
  <si>
    <t>Current Assets</t>
  </si>
  <si>
    <t>Current Liabilities</t>
  </si>
  <si>
    <t>Cost of sales</t>
  </si>
  <si>
    <t>Inventory days</t>
  </si>
  <si>
    <t>Debtor days</t>
  </si>
  <si>
    <t>Trade receivables</t>
  </si>
  <si>
    <t>Sales</t>
  </si>
  <si>
    <t>Payable days</t>
  </si>
  <si>
    <t>Trade payables</t>
  </si>
  <si>
    <t>Cash conversion cycle (days)</t>
  </si>
  <si>
    <t>Group revenue</t>
  </si>
  <si>
    <t>Gross profit</t>
  </si>
  <si>
    <t>Gross Profit Margin (%)</t>
  </si>
  <si>
    <t>Profit from operations</t>
  </si>
  <si>
    <t>Operating Profit Margin (%)</t>
  </si>
  <si>
    <t>Total Shareholders Equity</t>
  </si>
  <si>
    <t>Total assets</t>
  </si>
  <si>
    <t>Return on Capital Employed (%)</t>
  </si>
  <si>
    <t>Asset Turnover</t>
  </si>
  <si>
    <t xml:space="preserve">EPS </t>
  </si>
  <si>
    <t>Interest cover</t>
  </si>
  <si>
    <t>Interest charge</t>
  </si>
  <si>
    <t>Quick Ratio</t>
  </si>
  <si>
    <t>Less: Inventories</t>
  </si>
  <si>
    <t>Net profit</t>
  </si>
  <si>
    <t>Net Profit Margin (%)</t>
  </si>
  <si>
    <t>Capital Employed</t>
  </si>
  <si>
    <t>Price</t>
  </si>
  <si>
    <t>P/E Ratio</t>
  </si>
  <si>
    <t>Employees</t>
  </si>
  <si>
    <t>Sales revenue per employee</t>
  </si>
  <si>
    <t>Average</t>
  </si>
  <si>
    <t>Trailing P/E Auto Industry</t>
  </si>
  <si>
    <t xml:space="preserve">Earnings </t>
  </si>
  <si>
    <t>Valuation</t>
  </si>
  <si>
    <t>http://pages.stern.nyu.edu/~adamodar/New_Home_Page/datafile/pedata.html</t>
  </si>
  <si>
    <t>Signal</t>
  </si>
  <si>
    <t>However, we will not be using the average P/E ratio of the three companies. Instead, we will use the trailing P/E of the Auto Industry extracted from the dataset prepared by Stern NYU (2021). As it relates to the entire industry, it is a more approrpiate P/E ratio for the purpose of valuation. It will also not be highly skewed due to the presence of any outliers, in this case Tesla.</t>
  </si>
  <si>
    <t>Dividends</t>
  </si>
  <si>
    <t>Return on Assets (ROA)</t>
  </si>
  <si>
    <t xml:space="preserve">Debt to Assets </t>
  </si>
  <si>
    <t>Debt to Equity</t>
  </si>
  <si>
    <t>Sales Per Share</t>
  </si>
  <si>
    <t>P/S Ratio</t>
  </si>
  <si>
    <t>Dividend Payout Rate</t>
  </si>
  <si>
    <t>Dividend Cover Ratio</t>
  </si>
  <si>
    <t>Sustainable Growth Rate</t>
  </si>
  <si>
    <t>Retention Rate</t>
  </si>
  <si>
    <t>Stock-Based Compensation</t>
  </si>
  <si>
    <t>Cash generated from operations</t>
  </si>
  <si>
    <t>Cash generated from operations to maturing obligations</t>
  </si>
  <si>
    <t>Dividend Yield</t>
  </si>
  <si>
    <t>References</t>
  </si>
  <si>
    <t>Z-Score</t>
  </si>
  <si>
    <t>Return on Assets</t>
  </si>
  <si>
    <t>Operating Cash Flow</t>
  </si>
  <si>
    <t>Change in Return of Assets</t>
  </si>
  <si>
    <t>Accruals</t>
  </si>
  <si>
    <t>Profitability</t>
  </si>
  <si>
    <t>Leverage, liquidity and source of funds</t>
  </si>
  <si>
    <t>Change in current ratio</t>
  </si>
  <si>
    <t>Change in leverage (long-term) ratio</t>
  </si>
  <si>
    <t>Change in the number of shares</t>
  </si>
  <si>
    <t>Operating Efficiency</t>
  </si>
  <si>
    <t>Change in gross margin</t>
  </si>
  <si>
    <t>Change in asset turnover ratio</t>
  </si>
  <si>
    <t>F-Score</t>
  </si>
  <si>
    <t>Score</t>
  </si>
  <si>
    <t>A</t>
  </si>
  <si>
    <t>B</t>
  </si>
  <si>
    <t>C</t>
  </si>
  <si>
    <t>D</t>
  </si>
  <si>
    <t>E</t>
  </si>
  <si>
    <t xml:space="preserve">Market capitalization </t>
  </si>
  <si>
    <t>Working capital</t>
  </si>
  <si>
    <t>Underpriced</t>
  </si>
  <si>
    <t>Overpriced</t>
  </si>
  <si>
    <t>https://www.readyratios.com/sec/industry/3711/</t>
  </si>
  <si>
    <t>Current ratio</t>
  </si>
  <si>
    <t>Industry</t>
  </si>
  <si>
    <t>Inventory turnover days</t>
  </si>
  <si>
    <t>Return on Equity (%)</t>
  </si>
  <si>
    <t>Total Equity</t>
  </si>
  <si>
    <t>http://people.stern.nyu.edu/adamodar/New_Home_Page/dataarchived.html</t>
  </si>
  <si>
    <t>ROE</t>
  </si>
  <si>
    <t>Financial leverage</t>
  </si>
  <si>
    <t>Payables</t>
  </si>
  <si>
    <t>Short-term Debt</t>
  </si>
  <si>
    <t>Other Current Liabilities</t>
  </si>
  <si>
    <t>Financial Leverage</t>
  </si>
  <si>
    <t>Total Debt</t>
  </si>
  <si>
    <t>https://www.statista.com/statistics/263614/gross-domestic-product-gdp-growth-rate-in-the-united-states/</t>
  </si>
  <si>
    <t>https://www.macrotrends.net/stocks/charts/GM/general-motors/revenue</t>
  </si>
  <si>
    <t>https://data.worldbank.org/indicator/NY.GDP.MKTP.KD.ZG</t>
  </si>
  <si>
    <t xml:space="preserve">Reference: </t>
  </si>
  <si>
    <t>With its recent restructuring and its focus on improving efficiency, GM has become better at improving its cost control and its profit margins. This is evidenced by the fact that in 2020, GM's sales decreased by 10.75%, but the net profit of GM decreased by only 5%. Thus, following the 3% increase in sales, GM is expected to see a 5.5% increase in its net profit.</t>
  </si>
  <si>
    <t xml:space="preserve">Based on the GDP and the EIC analysis, GM is currently in a good position to improve its sales, as it is shifting towards EVs, and is looking to further strengthen its position in emerging markets and the US. Similarly, the economy is expected to rebound from the pandemic, with a 6.39% increase in US GDP projected for 2021. Thus, based on the qualitative and quantitative factors, sales are expected to grow by 3%. Similarly, the cost of sales are expected to increase by 3.5%, as it has consistently shadowed the change in revenue, with the average change in revenue and cost of sales being very similar for the last couple years.  </t>
  </si>
  <si>
    <t>GM has seen its inventory decreasing  by 1.75% and its equity increasing by 3.96% on average from 2016 to 2020. The overall trend for GM is a decreasing inventory and increasing equity. Thus, the average change in inventory and equity were deemed to be an appropriate adjustment for 2021 figures.</t>
  </si>
  <si>
    <t xml:space="preserve">Explanation of % used. </t>
  </si>
  <si>
    <t>% Change</t>
  </si>
  <si>
    <t>4 year annual % decrease</t>
  </si>
  <si>
    <t>Figures used</t>
  </si>
  <si>
    <t>%  used</t>
  </si>
  <si>
    <t>Av. Change</t>
  </si>
  <si>
    <t xml:space="preserve">Thus, historically, GM's revenue has not always moved in line with the US GDP growth rate. </t>
  </si>
  <si>
    <t>Average revenue change (2014-2020)</t>
  </si>
  <si>
    <t>Average GDP change (2014-2020)</t>
  </si>
  <si>
    <t>Sales Revenue</t>
  </si>
  <si>
    <t>US GDP growth (annual %)</t>
  </si>
  <si>
    <t>Particulars</t>
  </si>
  <si>
    <t>Net Profit Margin</t>
  </si>
  <si>
    <t>Net Income</t>
  </si>
  <si>
    <t>Shareholder's Equity</t>
  </si>
  <si>
    <t>Return on Equity</t>
  </si>
  <si>
    <t>Cost of Sales</t>
  </si>
  <si>
    <t>Inventory Days</t>
  </si>
  <si>
    <t>$</t>
  </si>
  <si>
    <t>Sensitivity</t>
  </si>
  <si>
    <t>F score and Z score</t>
  </si>
  <si>
    <t>Relative valuation</t>
  </si>
  <si>
    <t>CCC</t>
  </si>
  <si>
    <t>Five forces</t>
  </si>
  <si>
    <t>Total</t>
  </si>
  <si>
    <t>Net word count</t>
  </si>
  <si>
    <t>Word limit</t>
  </si>
  <si>
    <t>Margin</t>
  </si>
  <si>
    <t>Net profit margin</t>
  </si>
  <si>
    <t>Asset turnover</t>
  </si>
  <si>
    <t>Equity multiplier</t>
  </si>
  <si>
    <t>ROE (check)</t>
  </si>
  <si>
    <t>Three Step DuPont Analysis</t>
  </si>
  <si>
    <t>DuPont analysis</t>
  </si>
  <si>
    <t xml:space="preserve">Main body word count </t>
  </si>
  <si>
    <t>(excluding executive summary, chart and table titles)</t>
  </si>
  <si>
    <t>Table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</si>
</sst>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_(&quot;$&quot;* \(#,##0.00\);_(&quot;$&quot;* &quot;-&quot;??_);_(@_)"/>
    <numFmt numFmtId="165" formatCode="0.0000"/>
  </numFmts>
  <fonts count="21">
    <font>
      <sz val="12"/>
      <color theme="1"/>
      <name val="Calibri"/>
      <family val="2"/>
      <scheme val="minor"/>
    </font>
    <font>
      <sz val="12"/>
      <color theme="1"/>
      <name val="Calibri"/>
      <family val="2"/>
      <scheme val="minor"/>
    </font>
    <font>
      <sz val="12"/>
      <color theme="1"/>
      <name val="Times Roman"/>
    </font>
    <font>
      <b/>
      <sz val="12"/>
      <color theme="1"/>
      <name val="Times Roman"/>
    </font>
    <font>
      <b/>
      <sz val="12"/>
      <color rgb="FF333333"/>
      <name val="Times Roman"/>
    </font>
    <font>
      <sz val="12"/>
      <color rgb="FF333333"/>
      <name val="Times Roman"/>
    </font>
    <font>
      <i/>
      <sz val="12"/>
      <color theme="1"/>
      <name val="Times Roman"/>
    </font>
    <font>
      <u/>
      <sz val="12"/>
      <color theme="10"/>
      <name val="Calibri"/>
      <family val="2"/>
      <scheme val="minor"/>
    </font>
    <font>
      <b/>
      <i/>
      <sz val="12"/>
      <color theme="1"/>
      <name val="Times Roman"/>
    </font>
    <font>
      <i/>
      <u/>
      <sz val="12"/>
      <color theme="10"/>
      <name val="Calibri"/>
      <family val="2"/>
      <scheme val="minor"/>
    </font>
    <font>
      <b/>
      <sz val="12"/>
      <color theme="1"/>
      <name val="Calibri"/>
      <family val="2"/>
      <scheme val="minor"/>
    </font>
    <font>
      <sz val="12"/>
      <color theme="1"/>
      <name val="Times "/>
    </font>
    <font>
      <b/>
      <sz val="12"/>
      <color theme="1"/>
      <name val="Times "/>
    </font>
    <font>
      <b/>
      <sz val="12"/>
      <color rgb="FF333333"/>
      <name val="Times "/>
    </font>
    <font>
      <sz val="12"/>
      <color rgb="FF333333"/>
      <name val="Times "/>
    </font>
    <font>
      <sz val="12"/>
      <color rgb="FF444444"/>
      <name val="Times Roman"/>
    </font>
    <font>
      <sz val="12"/>
      <color rgb="FF000000"/>
      <name val="Times Roman"/>
    </font>
    <font>
      <b/>
      <sz val="12"/>
      <color rgb="FF000000"/>
      <name val="Times Roman"/>
    </font>
    <font>
      <sz val="12"/>
      <color rgb="FF000000"/>
      <name val="Calibri"/>
      <family val="2"/>
      <scheme val="minor"/>
    </font>
    <font>
      <b/>
      <sz val="12"/>
      <color rgb="FF000000"/>
      <name val="Calibri"/>
      <family val="2"/>
      <scheme val="minor"/>
    </font>
    <font>
      <i/>
      <sz val="12"/>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5">
    <border>
      <left/>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cellStyleXfs>
  <cellXfs count="432">
    <xf numFmtId="0" fontId="0" fillId="0" borderId="0" xfId="0"/>
    <xf numFmtId="0" fontId="2" fillId="4" borderId="0" xfId="0" applyFont="1" applyFill="1" applyAlignment="1"/>
    <xf numFmtId="0" fontId="2" fillId="0" borderId="0" xfId="0" applyFont="1" applyBorder="1"/>
    <xf numFmtId="0" fontId="4" fillId="3" borderId="0" xfId="0" applyFont="1" applyFill="1" applyAlignment="1">
      <alignment horizontal="right" vertical="center"/>
    </xf>
    <xf numFmtId="0" fontId="4" fillId="3" borderId="1" xfId="0" applyFont="1" applyFill="1" applyBorder="1" applyAlignment="1">
      <alignment horizontal="right" vertical="center"/>
    </xf>
    <xf numFmtId="0" fontId="4" fillId="5" borderId="0" xfId="1" applyNumberFormat="1" applyFont="1" applyFill="1" applyBorder="1" applyAlignment="1">
      <alignment horizontal="right" vertical="center"/>
    </xf>
    <xf numFmtId="0" fontId="4" fillId="5" borderId="1" xfId="1" applyNumberFormat="1" applyFont="1" applyFill="1" applyBorder="1" applyAlignment="1">
      <alignment horizontal="right" vertical="center"/>
    </xf>
    <xf numFmtId="0" fontId="4" fillId="2" borderId="0" xfId="0" applyFont="1" applyFill="1" applyAlignment="1">
      <alignment horizontal="right" vertical="center"/>
    </xf>
    <xf numFmtId="0" fontId="5" fillId="3" borderId="0" xfId="0" applyFont="1" applyFill="1" applyAlignment="1">
      <alignment horizontal="right" vertical="center"/>
    </xf>
    <xf numFmtId="0" fontId="5" fillId="3" borderId="1" xfId="0" applyFont="1" applyFill="1" applyBorder="1" applyAlignment="1">
      <alignment horizontal="right" vertical="center"/>
    </xf>
    <xf numFmtId="43" fontId="5" fillId="5" borderId="0" xfId="1" applyFont="1" applyFill="1" applyBorder="1" applyAlignment="1">
      <alignment horizontal="right" vertical="center"/>
    </xf>
    <xf numFmtId="43" fontId="5" fillId="5" borderId="1" xfId="1" applyFont="1" applyFill="1" applyBorder="1" applyAlignment="1">
      <alignment horizontal="right" vertical="center"/>
    </xf>
    <xf numFmtId="0" fontId="5" fillId="2" borderId="0" xfId="0" applyFont="1" applyFill="1" applyAlignment="1">
      <alignment horizontal="right" vertical="center"/>
    </xf>
    <xf numFmtId="0" fontId="3" fillId="0" borderId="0" xfId="0" applyFont="1" applyBorder="1"/>
    <xf numFmtId="43" fontId="2" fillId="0" borderId="0" xfId="1" applyFont="1" applyBorder="1"/>
    <xf numFmtId="0" fontId="2" fillId="4" borderId="0" xfId="0" applyFont="1" applyFill="1"/>
    <xf numFmtId="0" fontId="2" fillId="0" borderId="0" xfId="0" applyFont="1" applyFill="1"/>
    <xf numFmtId="0" fontId="5" fillId="3" borderId="0" xfId="2" applyNumberFormat="1" applyFont="1" applyFill="1" applyAlignment="1">
      <alignment horizontal="right" vertical="center"/>
    </xf>
    <xf numFmtId="43" fontId="5" fillId="3" borderId="0" xfId="1" applyFont="1" applyFill="1" applyAlignment="1">
      <alignment horizontal="right" vertical="center"/>
    </xf>
    <xf numFmtId="43" fontId="5" fillId="3" borderId="1" xfId="1" applyFont="1" applyFill="1" applyBorder="1" applyAlignment="1">
      <alignment horizontal="right" vertical="center"/>
    </xf>
    <xf numFmtId="43" fontId="5" fillId="2" borderId="0" xfId="1" applyFont="1" applyFill="1" applyAlignment="1">
      <alignment horizontal="right" vertical="center"/>
    </xf>
    <xf numFmtId="43" fontId="2" fillId="3" borderId="0" xfId="1" applyFont="1" applyFill="1"/>
    <xf numFmtId="43" fontId="2" fillId="3" borderId="1" xfId="1" applyFont="1" applyFill="1" applyBorder="1"/>
    <xf numFmtId="43" fontId="2" fillId="5" borderId="0" xfId="1" applyFont="1" applyFill="1"/>
    <xf numFmtId="43" fontId="2" fillId="5" borderId="1" xfId="1" applyFont="1" applyFill="1" applyBorder="1"/>
    <xf numFmtId="43" fontId="2" fillId="2" borderId="0" xfId="1" applyFont="1" applyFill="1"/>
    <xf numFmtId="0" fontId="2" fillId="0" borderId="0" xfId="0" applyFont="1"/>
    <xf numFmtId="0" fontId="3" fillId="4" borderId="0" xfId="0" applyFont="1" applyFill="1"/>
    <xf numFmtId="43" fontId="4" fillId="3" borderId="0" xfId="1" applyFont="1" applyFill="1" applyAlignment="1">
      <alignment horizontal="right" vertical="center"/>
    </xf>
    <xf numFmtId="43" fontId="3" fillId="3" borderId="0" xfId="1" applyFont="1" applyFill="1"/>
    <xf numFmtId="0" fontId="2" fillId="3" borderId="0" xfId="0" applyFont="1" applyFill="1"/>
    <xf numFmtId="0" fontId="2" fillId="3" borderId="1" xfId="0" applyFont="1" applyFill="1" applyBorder="1"/>
    <xf numFmtId="0" fontId="2" fillId="5" borderId="0" xfId="0" applyFont="1" applyFill="1"/>
    <xf numFmtId="0" fontId="2" fillId="5" borderId="1" xfId="0" applyFont="1" applyFill="1" applyBorder="1"/>
    <xf numFmtId="0" fontId="2" fillId="2" borderId="0" xfId="0" applyFont="1" applyFill="1"/>
    <xf numFmtId="0" fontId="4" fillId="4" borderId="0" xfId="0" applyFont="1" applyFill="1" applyAlignment="1">
      <alignment vertical="center" wrapText="1"/>
    </xf>
    <xf numFmtId="43" fontId="4" fillId="3" borderId="0" xfId="1" applyFont="1" applyFill="1" applyBorder="1" applyAlignment="1">
      <alignment horizontal="right" vertical="center" wrapText="1"/>
    </xf>
    <xf numFmtId="43" fontId="4" fillId="3" borderId="1" xfId="1" applyFont="1" applyFill="1" applyBorder="1" applyAlignment="1">
      <alignment horizontal="right" vertical="center" wrapText="1"/>
    </xf>
    <xf numFmtId="43" fontId="4" fillId="5" borderId="0" xfId="1" applyFont="1" applyFill="1" applyBorder="1" applyAlignment="1">
      <alignment horizontal="right" vertical="center" wrapText="1"/>
    </xf>
    <xf numFmtId="43" fontId="4" fillId="5" borderId="1" xfId="1" applyFont="1" applyFill="1" applyBorder="1" applyAlignment="1">
      <alignment horizontal="right" vertical="center" wrapText="1"/>
    </xf>
    <xf numFmtId="43" fontId="4" fillId="2" borderId="0" xfId="1" applyFont="1" applyFill="1" applyBorder="1" applyAlignment="1">
      <alignment horizontal="right" vertical="center" wrapText="1"/>
    </xf>
    <xf numFmtId="0" fontId="2" fillId="4" borderId="0" xfId="0" applyFont="1" applyFill="1" applyAlignment="1">
      <alignment vertical="center" wrapText="1"/>
    </xf>
    <xf numFmtId="43" fontId="2" fillId="3" borderId="0" xfId="1" applyFont="1" applyFill="1" applyBorder="1" applyAlignment="1">
      <alignment horizontal="right" vertical="center" wrapText="1"/>
    </xf>
    <xf numFmtId="43" fontId="2" fillId="3" borderId="1" xfId="1" applyFont="1" applyFill="1" applyBorder="1" applyAlignment="1">
      <alignment horizontal="right" vertical="center" wrapText="1"/>
    </xf>
    <xf numFmtId="43" fontId="2" fillId="5" borderId="0" xfId="1" applyFont="1" applyFill="1" applyBorder="1" applyAlignment="1">
      <alignment horizontal="right" vertical="center" wrapText="1"/>
    </xf>
    <xf numFmtId="43" fontId="2" fillId="5" borderId="1" xfId="1" applyFont="1" applyFill="1" applyBorder="1" applyAlignment="1">
      <alignment horizontal="right" vertical="center" wrapText="1"/>
    </xf>
    <xf numFmtId="43" fontId="2" fillId="2" borderId="0" xfId="1" applyFont="1" applyFill="1" applyBorder="1" applyAlignment="1">
      <alignment horizontal="right" vertical="center" wrapText="1"/>
    </xf>
    <xf numFmtId="0" fontId="3" fillId="4" borderId="0" xfId="0" applyFont="1" applyFill="1" applyAlignment="1">
      <alignment vertical="center" wrapText="1"/>
    </xf>
    <xf numFmtId="43" fontId="3" fillId="3" borderId="0" xfId="1" applyFont="1" applyFill="1" applyBorder="1" applyAlignment="1">
      <alignment horizontal="right" vertical="center" wrapText="1"/>
    </xf>
    <xf numFmtId="43" fontId="3" fillId="3" borderId="1" xfId="1" applyFont="1" applyFill="1" applyBorder="1" applyAlignment="1">
      <alignment horizontal="right" vertical="center" wrapText="1"/>
    </xf>
    <xf numFmtId="43" fontId="3" fillId="5" borderId="0" xfId="1" applyFont="1" applyFill="1" applyBorder="1" applyAlignment="1">
      <alignment horizontal="right" vertical="center" wrapText="1"/>
    </xf>
    <xf numFmtId="43" fontId="3" fillId="5" borderId="1" xfId="1" applyFont="1" applyFill="1" applyBorder="1" applyAlignment="1">
      <alignment horizontal="right" vertical="center" wrapText="1"/>
    </xf>
    <xf numFmtId="43" fontId="3" fillId="2" borderId="0" xfId="1" applyFont="1" applyFill="1" applyBorder="1" applyAlignment="1">
      <alignment horizontal="right" vertical="center" wrapText="1"/>
    </xf>
    <xf numFmtId="0" fontId="3" fillId="0" borderId="0" xfId="0" applyFont="1"/>
    <xf numFmtId="0" fontId="5" fillId="4" borderId="0" xfId="0" applyFont="1" applyFill="1" applyAlignment="1">
      <alignment vertical="center" wrapText="1"/>
    </xf>
    <xf numFmtId="43" fontId="5" fillId="3" borderId="0" xfId="1" applyFont="1" applyFill="1" applyBorder="1" applyAlignment="1">
      <alignment horizontal="right" vertical="center" wrapText="1"/>
    </xf>
    <xf numFmtId="43" fontId="5" fillId="3" borderId="1" xfId="1" applyFont="1" applyFill="1" applyBorder="1" applyAlignment="1">
      <alignment horizontal="right" vertical="center" wrapText="1"/>
    </xf>
    <xf numFmtId="43" fontId="5" fillId="5" borderId="0" xfId="1" applyFont="1" applyFill="1" applyBorder="1" applyAlignment="1">
      <alignment horizontal="right" vertical="center" wrapText="1"/>
    </xf>
    <xf numFmtId="43" fontId="5" fillId="5" borderId="1" xfId="1" applyFont="1" applyFill="1" applyBorder="1" applyAlignment="1">
      <alignment horizontal="right" vertical="center" wrapText="1"/>
    </xf>
    <xf numFmtId="43" fontId="5" fillId="2" borderId="0" xfId="1" applyFont="1" applyFill="1" applyBorder="1" applyAlignment="1">
      <alignment horizontal="right" vertical="center" wrapText="1"/>
    </xf>
    <xf numFmtId="0" fontId="4" fillId="4" borderId="0" xfId="0" applyFont="1" applyFill="1" applyAlignment="1">
      <alignment vertical="center"/>
    </xf>
    <xf numFmtId="43" fontId="4" fillId="3" borderId="0" xfId="1" applyFont="1" applyFill="1" applyBorder="1" applyAlignment="1">
      <alignment horizontal="right" vertical="center"/>
    </xf>
    <xf numFmtId="43" fontId="4" fillId="5" borderId="0" xfId="1" applyFont="1" applyFill="1" applyBorder="1" applyAlignment="1">
      <alignment horizontal="right" vertical="center"/>
    </xf>
    <xf numFmtId="43" fontId="4" fillId="5" borderId="1" xfId="1" applyFont="1" applyFill="1" applyBorder="1" applyAlignment="1">
      <alignment horizontal="right" vertical="center"/>
    </xf>
    <xf numFmtId="43" fontId="4" fillId="2" borderId="0" xfId="1" applyFont="1" applyFill="1" applyBorder="1" applyAlignment="1">
      <alignment horizontal="right" vertical="center"/>
    </xf>
    <xf numFmtId="43" fontId="4" fillId="3" borderId="1" xfId="1" applyFont="1" applyFill="1" applyBorder="1" applyAlignment="1">
      <alignment horizontal="right" vertical="center"/>
    </xf>
    <xf numFmtId="43" fontId="5" fillId="3" borderId="0" xfId="1" applyFont="1" applyFill="1" applyBorder="1" applyAlignment="1">
      <alignment horizontal="right" vertical="center"/>
    </xf>
    <xf numFmtId="43" fontId="5" fillId="2" borderId="0" xfId="1" applyFont="1" applyFill="1" applyBorder="1" applyAlignment="1">
      <alignment horizontal="right" vertical="center"/>
    </xf>
    <xf numFmtId="43" fontId="2" fillId="3" borderId="0" xfId="1" applyFont="1" applyFill="1" applyBorder="1" applyAlignment="1">
      <alignment horizontal="right" vertical="center"/>
    </xf>
    <xf numFmtId="43" fontId="2" fillId="3" borderId="1" xfId="1" applyFont="1" applyFill="1" applyBorder="1" applyAlignment="1">
      <alignment horizontal="right" vertical="center"/>
    </xf>
    <xf numFmtId="43" fontId="2" fillId="5" borderId="0" xfId="1" applyFont="1" applyFill="1" applyBorder="1" applyAlignment="1">
      <alignment horizontal="right" vertical="center"/>
    </xf>
    <xf numFmtId="43" fontId="2" fillId="5" borderId="1" xfId="1" applyFont="1" applyFill="1" applyBorder="1" applyAlignment="1">
      <alignment horizontal="right" vertical="center"/>
    </xf>
    <xf numFmtId="43" fontId="2" fillId="2" borderId="0" xfId="1" applyFont="1" applyFill="1" applyBorder="1" applyAlignment="1">
      <alignment horizontal="right" vertical="center"/>
    </xf>
    <xf numFmtId="10" fontId="2" fillId="3" borderId="0" xfId="0" applyNumberFormat="1" applyFont="1" applyFill="1" applyAlignment="1">
      <alignment horizontal="right" vertical="center"/>
    </xf>
    <xf numFmtId="10" fontId="2" fillId="3" borderId="1" xfId="0" applyNumberFormat="1" applyFont="1" applyFill="1" applyBorder="1" applyAlignment="1">
      <alignment horizontal="right" vertical="center"/>
    </xf>
    <xf numFmtId="10" fontId="2" fillId="5" borderId="0" xfId="0" applyNumberFormat="1" applyFont="1" applyFill="1" applyAlignment="1">
      <alignment horizontal="right" vertical="center"/>
    </xf>
    <xf numFmtId="10" fontId="2" fillId="5" borderId="1" xfId="0" applyNumberFormat="1" applyFont="1" applyFill="1" applyBorder="1" applyAlignment="1">
      <alignment horizontal="right" vertical="center"/>
    </xf>
    <xf numFmtId="10" fontId="2" fillId="2" borderId="0" xfId="0" applyNumberFormat="1" applyFont="1" applyFill="1" applyAlignment="1">
      <alignment horizontal="right" vertical="center"/>
    </xf>
    <xf numFmtId="10" fontId="2" fillId="3" borderId="0" xfId="0" applyNumberFormat="1" applyFont="1" applyFill="1"/>
    <xf numFmtId="10" fontId="2" fillId="3" borderId="1" xfId="0" applyNumberFormat="1" applyFont="1" applyFill="1" applyBorder="1"/>
    <xf numFmtId="10" fontId="2" fillId="5" borderId="0" xfId="0" applyNumberFormat="1" applyFont="1" applyFill="1"/>
    <xf numFmtId="10" fontId="2" fillId="5" borderId="1" xfId="0" applyNumberFormat="1" applyFont="1" applyFill="1" applyBorder="1"/>
    <xf numFmtId="10" fontId="2" fillId="2" borderId="0" xfId="0" applyNumberFormat="1" applyFont="1" applyFill="1"/>
    <xf numFmtId="0" fontId="3" fillId="4" borderId="0" xfId="0" applyFont="1" applyFill="1" applyAlignment="1">
      <alignment vertical="center"/>
    </xf>
    <xf numFmtId="2" fontId="2" fillId="5" borderId="0" xfId="0" applyNumberFormat="1" applyFont="1" applyFill="1" applyAlignment="1">
      <alignment horizontal="right" vertical="center"/>
    </xf>
    <xf numFmtId="43" fontId="2" fillId="0" borderId="0" xfId="1" applyFont="1" applyFill="1" applyBorder="1" applyAlignment="1">
      <alignment horizontal="right" vertical="center" wrapText="1"/>
    </xf>
    <xf numFmtId="0" fontId="3" fillId="0" borderId="0" xfId="0" applyFont="1" applyFill="1"/>
    <xf numFmtId="0" fontId="3" fillId="5" borderId="0" xfId="0" applyFont="1" applyFill="1"/>
    <xf numFmtId="0" fontId="6" fillId="4" borderId="0" xfId="0" applyFont="1" applyFill="1"/>
    <xf numFmtId="10" fontId="3" fillId="0" borderId="0" xfId="0" applyNumberFormat="1" applyFont="1"/>
    <xf numFmtId="43" fontId="2" fillId="0" borderId="0" xfId="1" applyFont="1"/>
    <xf numFmtId="43" fontId="3" fillId="0" borderId="0" xfId="1" applyFont="1"/>
    <xf numFmtId="0" fontId="2" fillId="0" borderId="0" xfId="0" applyFont="1" applyAlignment="1"/>
    <xf numFmtId="10" fontId="3" fillId="0" borderId="0" xfId="1" applyNumberFormat="1" applyFont="1"/>
    <xf numFmtId="43" fontId="3" fillId="3" borderId="1" xfId="1" applyFont="1" applyFill="1" applyBorder="1"/>
    <xf numFmtId="43" fontId="3" fillId="5" borderId="0" xfId="1" applyFont="1" applyFill="1"/>
    <xf numFmtId="43" fontId="3" fillId="5" borderId="1" xfId="1" applyFont="1" applyFill="1" applyBorder="1"/>
    <xf numFmtId="43" fontId="3" fillId="2" borderId="0" xfId="1" applyFont="1" applyFill="1"/>
    <xf numFmtId="10" fontId="3" fillId="3" borderId="0" xfId="1" applyNumberFormat="1" applyFont="1" applyFill="1" applyBorder="1" applyAlignment="1">
      <alignment horizontal="right" vertical="center"/>
    </xf>
    <xf numFmtId="43" fontId="2" fillId="3" borderId="0" xfId="0" applyNumberFormat="1" applyFont="1" applyFill="1"/>
    <xf numFmtId="10" fontId="3" fillId="3" borderId="0" xfId="0" applyNumberFormat="1" applyFont="1" applyFill="1"/>
    <xf numFmtId="10" fontId="3" fillId="5" borderId="0" xfId="1" applyNumberFormat="1" applyFont="1" applyFill="1" applyBorder="1" applyAlignment="1">
      <alignment horizontal="right" vertical="center"/>
    </xf>
    <xf numFmtId="43" fontId="2" fillId="5" borderId="0" xfId="0" applyNumberFormat="1" applyFont="1" applyFill="1"/>
    <xf numFmtId="10" fontId="3" fillId="5" borderId="0" xfId="0" applyNumberFormat="1" applyFont="1" applyFill="1"/>
    <xf numFmtId="10" fontId="3" fillId="2" borderId="0" xfId="1" applyNumberFormat="1" applyFont="1" applyFill="1" applyBorder="1" applyAlignment="1">
      <alignment horizontal="right" vertical="center"/>
    </xf>
    <xf numFmtId="43" fontId="2" fillId="2" borderId="0" xfId="0" applyNumberFormat="1" applyFont="1" applyFill="1"/>
    <xf numFmtId="10" fontId="3" fillId="2" borderId="0" xfId="0" applyNumberFormat="1" applyFont="1" applyFill="1"/>
    <xf numFmtId="10" fontId="3" fillId="3" borderId="1" xfId="1" applyNumberFormat="1" applyFont="1" applyFill="1" applyBorder="1" applyAlignment="1">
      <alignment horizontal="right" vertical="center"/>
    </xf>
    <xf numFmtId="43" fontId="2" fillId="3" borderId="1" xfId="0" applyNumberFormat="1" applyFont="1" applyFill="1" applyBorder="1"/>
    <xf numFmtId="10" fontId="3" fillId="3" borderId="1" xfId="0" applyNumberFormat="1" applyFont="1" applyFill="1" applyBorder="1"/>
    <xf numFmtId="10" fontId="3" fillId="5" borderId="1" xfId="1" applyNumberFormat="1" applyFont="1" applyFill="1" applyBorder="1" applyAlignment="1">
      <alignment horizontal="right" vertical="center"/>
    </xf>
    <xf numFmtId="43" fontId="2" fillId="5" borderId="1" xfId="0" applyNumberFormat="1" applyFont="1" applyFill="1" applyBorder="1"/>
    <xf numFmtId="10" fontId="3" fillId="5" borderId="1" xfId="0" applyNumberFormat="1" applyFont="1" applyFill="1" applyBorder="1"/>
    <xf numFmtId="43" fontId="3" fillId="3" borderId="0" xfId="1" applyFont="1" applyFill="1" applyBorder="1" applyAlignment="1">
      <alignment horizontal="right" vertical="center"/>
    </xf>
    <xf numFmtId="43" fontId="2" fillId="3" borderId="0" xfId="1" applyFont="1" applyFill="1" applyBorder="1"/>
    <xf numFmtId="43" fontId="3" fillId="3" borderId="0" xfId="1" applyFont="1" applyFill="1" applyBorder="1"/>
    <xf numFmtId="0" fontId="2" fillId="3" borderId="0" xfId="0" applyFont="1" applyFill="1" applyBorder="1"/>
    <xf numFmtId="0" fontId="4" fillId="3" borderId="0" xfId="0" applyFont="1" applyFill="1" applyBorder="1" applyAlignment="1">
      <alignment horizontal="right" vertical="center"/>
    </xf>
    <xf numFmtId="0" fontId="5" fillId="3" borderId="0" xfId="0" applyFont="1" applyFill="1" applyBorder="1" applyAlignment="1">
      <alignment horizontal="right" vertical="center"/>
    </xf>
    <xf numFmtId="43" fontId="3" fillId="3" borderId="1" xfId="1" applyFont="1" applyFill="1" applyBorder="1" applyAlignment="1">
      <alignment horizontal="right" vertical="center"/>
    </xf>
    <xf numFmtId="43" fontId="3" fillId="5" borderId="0" xfId="1" applyFont="1" applyFill="1" applyBorder="1" applyAlignment="1">
      <alignment horizontal="right" vertical="center"/>
    </xf>
    <xf numFmtId="43" fontId="2" fillId="5" borderId="0" xfId="1" applyFont="1" applyFill="1" applyBorder="1"/>
    <xf numFmtId="43" fontId="3" fillId="5" borderId="0" xfId="1" applyFont="1" applyFill="1" applyBorder="1"/>
    <xf numFmtId="0" fontId="2" fillId="5" borderId="0" xfId="0" applyFont="1" applyFill="1" applyBorder="1"/>
    <xf numFmtId="0" fontId="4" fillId="5" borderId="2" xfId="1" applyNumberFormat="1" applyFont="1" applyFill="1" applyBorder="1" applyAlignment="1">
      <alignment horizontal="right" vertical="center"/>
    </xf>
    <xf numFmtId="43" fontId="5" fillId="5" borderId="2" xfId="1" applyFont="1" applyFill="1" applyBorder="1" applyAlignment="1">
      <alignment horizontal="right" vertical="center"/>
    </xf>
    <xf numFmtId="43" fontId="2" fillId="5" borderId="2" xfId="1" applyFont="1" applyFill="1" applyBorder="1" applyAlignment="1">
      <alignment horizontal="right" vertical="center"/>
    </xf>
    <xf numFmtId="43" fontId="3" fillId="5" borderId="2" xfId="1" applyFont="1" applyFill="1" applyBorder="1" applyAlignment="1">
      <alignment horizontal="right" vertical="center"/>
    </xf>
    <xf numFmtId="43" fontId="3" fillId="5" borderId="1" xfId="1" applyFont="1" applyFill="1" applyBorder="1" applyAlignment="1">
      <alignment horizontal="right" vertical="center"/>
    </xf>
    <xf numFmtId="43" fontId="2" fillId="5" borderId="2" xfId="1" applyFont="1" applyFill="1" applyBorder="1"/>
    <xf numFmtId="43" fontId="3" fillId="5" borderId="2" xfId="1" applyFont="1" applyFill="1" applyBorder="1"/>
    <xf numFmtId="0" fontId="2" fillId="5" borderId="2" xfId="0" applyFont="1" applyFill="1" applyBorder="1"/>
    <xf numFmtId="43" fontId="3" fillId="2" borderId="0" xfId="1" applyFont="1" applyFill="1" applyBorder="1" applyAlignment="1">
      <alignment horizontal="right" vertical="center"/>
    </xf>
    <xf numFmtId="43" fontId="2" fillId="2" borderId="0" xfId="1" applyFont="1" applyFill="1" applyBorder="1"/>
    <xf numFmtId="43" fontId="3" fillId="2" borderId="0" xfId="1" applyFont="1" applyFill="1" applyBorder="1"/>
    <xf numFmtId="0" fontId="2" fillId="2" borderId="0" xfId="0" applyFont="1" applyFill="1" applyBorder="1"/>
    <xf numFmtId="43" fontId="2" fillId="3" borderId="0" xfId="0" applyNumberFormat="1" applyFont="1" applyFill="1" applyBorder="1"/>
    <xf numFmtId="10" fontId="3" fillId="3" borderId="0" xfId="0" applyNumberFormat="1" applyFont="1" applyFill="1" applyBorder="1"/>
    <xf numFmtId="10" fontId="3" fillId="5" borderId="2" xfId="1" applyNumberFormat="1" applyFont="1" applyFill="1" applyBorder="1" applyAlignment="1">
      <alignment horizontal="right" vertical="center"/>
    </xf>
    <xf numFmtId="43" fontId="2" fillId="5" borderId="2" xfId="0" applyNumberFormat="1" applyFont="1" applyFill="1" applyBorder="1"/>
    <xf numFmtId="43" fontId="2" fillId="5" borderId="0" xfId="0" applyNumberFormat="1" applyFont="1" applyFill="1" applyBorder="1"/>
    <xf numFmtId="10" fontId="3" fillId="5" borderId="2" xfId="0" applyNumberFormat="1" applyFont="1" applyFill="1" applyBorder="1"/>
    <xf numFmtId="10" fontId="3" fillId="5" borderId="0" xfId="0" applyNumberFormat="1" applyFont="1" applyFill="1" applyBorder="1"/>
    <xf numFmtId="43" fontId="3" fillId="3" borderId="0" xfId="1" applyFont="1" applyFill="1" applyBorder="1" applyAlignment="1">
      <alignment horizontal="left"/>
    </xf>
    <xf numFmtId="43" fontId="3" fillId="3" borderId="0" xfId="0" applyNumberFormat="1" applyFont="1" applyFill="1" applyBorder="1"/>
    <xf numFmtId="43" fontId="3" fillId="3" borderId="1" xfId="0" applyNumberFormat="1" applyFont="1" applyFill="1" applyBorder="1"/>
    <xf numFmtId="10" fontId="3" fillId="3" borderId="0" xfId="1" applyNumberFormat="1" applyFont="1" applyFill="1" applyBorder="1"/>
    <xf numFmtId="10" fontId="3" fillId="3" borderId="1" xfId="1" applyNumberFormat="1" applyFont="1" applyFill="1" applyBorder="1"/>
    <xf numFmtId="43" fontId="3" fillId="5" borderId="2" xfId="0" applyNumberFormat="1" applyFont="1" applyFill="1" applyBorder="1"/>
    <xf numFmtId="43" fontId="3" fillId="5" borderId="0" xfId="0" applyNumberFormat="1" applyFont="1" applyFill="1" applyBorder="1"/>
    <xf numFmtId="43" fontId="3" fillId="5" borderId="1" xfId="0" applyNumberFormat="1" applyFont="1" applyFill="1" applyBorder="1"/>
    <xf numFmtId="10" fontId="3" fillId="5" borderId="2" xfId="1" applyNumberFormat="1" applyFont="1" applyFill="1" applyBorder="1"/>
    <xf numFmtId="10" fontId="3" fillId="5" borderId="0" xfId="1" applyNumberFormat="1" applyFont="1" applyFill="1" applyBorder="1"/>
    <xf numFmtId="10" fontId="3" fillId="5" borderId="1" xfId="1" applyNumberFormat="1" applyFont="1" applyFill="1" applyBorder="1"/>
    <xf numFmtId="43" fontId="3" fillId="2" borderId="0" xfId="0" applyNumberFormat="1" applyFont="1" applyFill="1"/>
    <xf numFmtId="10" fontId="3" fillId="2" borderId="0" xfId="1" applyNumberFormat="1" applyFont="1" applyFill="1"/>
    <xf numFmtId="2" fontId="2" fillId="0" borderId="0" xfId="0" applyNumberFormat="1" applyFont="1"/>
    <xf numFmtId="2" fontId="2" fillId="3" borderId="0" xfId="0" applyNumberFormat="1" applyFont="1" applyFill="1"/>
    <xf numFmtId="2" fontId="2" fillId="2" borderId="0" xfId="0" applyNumberFormat="1" applyFont="1" applyFill="1"/>
    <xf numFmtId="0" fontId="2" fillId="4" borderId="0" xfId="0" applyNumberFormat="1" applyFont="1" applyFill="1" applyAlignment="1">
      <alignment horizontal="left"/>
    </xf>
    <xf numFmtId="0" fontId="2" fillId="4" borderId="0" xfId="0" applyNumberFormat="1" applyFont="1" applyFill="1" applyBorder="1" applyAlignment="1">
      <alignment horizontal="left" vertical="center"/>
    </xf>
    <xf numFmtId="0" fontId="2" fillId="4" borderId="0" xfId="1" applyNumberFormat="1" applyFont="1" applyFill="1" applyBorder="1" applyAlignment="1">
      <alignment horizontal="left"/>
    </xf>
    <xf numFmtId="0" fontId="2" fillId="4" borderId="0" xfId="1" applyNumberFormat="1" applyFont="1" applyFill="1" applyBorder="1" applyAlignment="1">
      <alignment horizontal="left" vertical="center"/>
    </xf>
    <xf numFmtId="0" fontId="2" fillId="4" borderId="0" xfId="0" applyNumberFormat="1" applyFont="1" applyFill="1"/>
    <xf numFmtId="0" fontId="2" fillId="4" borderId="0" xfId="1" applyNumberFormat="1" applyFont="1" applyFill="1"/>
    <xf numFmtId="0" fontId="3" fillId="4" borderId="0" xfId="0" applyNumberFormat="1" applyFont="1" applyFill="1" applyBorder="1" applyAlignment="1">
      <alignment horizontal="left" vertical="center"/>
    </xf>
    <xf numFmtId="0" fontId="3" fillId="4" borderId="0" xfId="0" applyNumberFormat="1" applyFont="1" applyFill="1"/>
    <xf numFmtId="0" fontId="2" fillId="4" borderId="0" xfId="0" applyNumberFormat="1" applyFont="1" applyFill="1" applyAlignment="1"/>
    <xf numFmtId="0" fontId="2" fillId="4" borderId="0" xfId="0" applyNumberFormat="1" applyFont="1" applyFill="1" applyBorder="1" applyAlignment="1">
      <alignment vertical="center"/>
    </xf>
    <xf numFmtId="0" fontId="3" fillId="4" borderId="0" xfId="0" applyNumberFormat="1" applyFont="1" applyFill="1" applyBorder="1" applyAlignment="1">
      <alignment vertical="center"/>
    </xf>
    <xf numFmtId="0" fontId="2" fillId="4" borderId="0" xfId="0" applyNumberFormat="1" applyFont="1" applyFill="1" applyBorder="1" applyAlignment="1"/>
    <xf numFmtId="0" fontId="2" fillId="4" borderId="0" xfId="1" applyNumberFormat="1" applyFont="1" applyFill="1" applyBorder="1" applyAlignment="1"/>
    <xf numFmtId="0" fontId="3" fillId="4" borderId="0" xfId="1" applyNumberFormat="1" applyFont="1" applyFill="1" applyBorder="1" applyAlignment="1"/>
    <xf numFmtId="0" fontId="3" fillId="4" borderId="0" xfId="1" applyNumberFormat="1" applyFont="1" applyFill="1" applyBorder="1" applyAlignment="1">
      <alignment horizontal="left"/>
    </xf>
    <xf numFmtId="0" fontId="3" fillId="4" borderId="0" xfId="1" applyNumberFormat="1" applyFont="1" applyFill="1" applyBorder="1" applyAlignment="1">
      <alignment horizontal="left" vertical="center"/>
    </xf>
    <xf numFmtId="0" fontId="3" fillId="4" borderId="0" xfId="1" applyNumberFormat="1" applyFont="1" applyFill="1"/>
    <xf numFmtId="0" fontId="6" fillId="0" borderId="0" xfId="0" applyFont="1" applyFill="1"/>
    <xf numFmtId="0" fontId="8" fillId="0" borderId="0" xfId="0" applyFont="1" applyFill="1"/>
    <xf numFmtId="0" fontId="6" fillId="0" borderId="0" xfId="0" applyFont="1" applyFill="1" applyAlignment="1"/>
    <xf numFmtId="0" fontId="9" fillId="0" borderId="0" xfId="3" applyFont="1" applyFill="1"/>
    <xf numFmtId="43" fontId="3" fillId="6" borderId="0" xfId="0" applyNumberFormat="1" applyFont="1" applyFill="1"/>
    <xf numFmtId="0" fontId="2" fillId="6" borderId="0" xfId="0" applyFont="1" applyFill="1"/>
    <xf numFmtId="0" fontId="3" fillId="6" borderId="0" xfId="0" applyFont="1" applyFill="1"/>
    <xf numFmtId="0" fontId="11" fillId="4" borderId="0" xfId="0" applyNumberFormat="1" applyFont="1" applyFill="1" applyAlignment="1"/>
    <xf numFmtId="0" fontId="11" fillId="0" borderId="0" xfId="0" applyFont="1" applyBorder="1"/>
    <xf numFmtId="0" fontId="13" fillId="3" borderId="0" xfId="0" applyFont="1" applyFill="1" applyBorder="1" applyAlignment="1">
      <alignment horizontal="right" vertical="center"/>
    </xf>
    <xf numFmtId="0" fontId="13" fillId="3" borderId="1" xfId="0" applyFont="1" applyFill="1" applyBorder="1" applyAlignment="1">
      <alignment horizontal="right" vertical="center"/>
    </xf>
    <xf numFmtId="0" fontId="13" fillId="5" borderId="0" xfId="1" applyNumberFormat="1" applyFont="1" applyFill="1" applyBorder="1" applyAlignment="1">
      <alignment horizontal="right" vertical="center"/>
    </xf>
    <xf numFmtId="0" fontId="13" fillId="5" borderId="1" xfId="1" applyNumberFormat="1" applyFont="1" applyFill="1" applyBorder="1" applyAlignment="1">
      <alignment horizontal="right" vertical="center"/>
    </xf>
    <xf numFmtId="0" fontId="13" fillId="2" borderId="0" xfId="0" applyFont="1" applyFill="1" applyAlignment="1">
      <alignment horizontal="right" vertical="center"/>
    </xf>
    <xf numFmtId="0" fontId="14" fillId="3" borderId="0" xfId="0" applyFont="1" applyFill="1" applyBorder="1" applyAlignment="1">
      <alignment horizontal="right" vertical="center"/>
    </xf>
    <xf numFmtId="0" fontId="14" fillId="3" borderId="1" xfId="0" applyFont="1" applyFill="1" applyBorder="1" applyAlignment="1">
      <alignment horizontal="right" vertical="center"/>
    </xf>
    <xf numFmtId="43" fontId="14" fillId="5" borderId="0" xfId="1" applyFont="1" applyFill="1" applyBorder="1" applyAlignment="1">
      <alignment horizontal="right" vertical="center"/>
    </xf>
    <xf numFmtId="43" fontId="14" fillId="5" borderId="1" xfId="1" applyFont="1" applyFill="1" applyBorder="1" applyAlignment="1">
      <alignment horizontal="right" vertical="center"/>
    </xf>
    <xf numFmtId="0" fontId="14" fillId="2" borderId="0" xfId="0" applyFont="1" applyFill="1" applyAlignment="1">
      <alignment horizontal="right" vertical="center"/>
    </xf>
    <xf numFmtId="0" fontId="11" fillId="0" borderId="0" xfId="0" applyFont="1"/>
    <xf numFmtId="0" fontId="10" fillId="0" borderId="0" xfId="0" applyFont="1"/>
    <xf numFmtId="0" fontId="12" fillId="0" borderId="0" xfId="0" applyFont="1"/>
    <xf numFmtId="43" fontId="3" fillId="5" borderId="0" xfId="1" applyFont="1" applyFill="1" applyAlignment="1">
      <alignment horizontal="left"/>
    </xf>
    <xf numFmtId="43" fontId="14" fillId="3" borderId="1" xfId="1" applyFont="1" applyFill="1" applyBorder="1" applyAlignment="1">
      <alignment horizontal="right" vertical="center"/>
    </xf>
    <xf numFmtId="43" fontId="14" fillId="2" borderId="0" xfId="1" applyFont="1" applyFill="1" applyAlignment="1">
      <alignment horizontal="right" vertical="center"/>
    </xf>
    <xf numFmtId="0" fontId="11" fillId="4" borderId="0" xfId="0" applyFont="1" applyFill="1"/>
    <xf numFmtId="0" fontId="12" fillId="4" borderId="0" xfId="0" applyFont="1" applyFill="1"/>
    <xf numFmtId="0" fontId="11" fillId="3" borderId="0" xfId="0" applyFont="1" applyFill="1"/>
    <xf numFmtId="0" fontId="11" fillId="3" borderId="1" xfId="0" applyFont="1" applyFill="1" applyBorder="1"/>
    <xf numFmtId="0" fontId="11" fillId="5" borderId="0" xfId="0" applyFont="1" applyFill="1"/>
    <xf numFmtId="0" fontId="11" fillId="5" borderId="1" xfId="0" applyFont="1" applyFill="1" applyBorder="1"/>
    <xf numFmtId="0" fontId="11" fillId="2" borderId="0" xfId="0" applyFont="1" applyFill="1"/>
    <xf numFmtId="2" fontId="2" fillId="5" borderId="1" xfId="0" applyNumberFormat="1" applyFont="1" applyFill="1" applyBorder="1"/>
    <xf numFmtId="2" fontId="2" fillId="3" borderId="1" xfId="0" applyNumberFormat="1" applyFont="1" applyFill="1" applyBorder="1"/>
    <xf numFmtId="43" fontId="0" fillId="3" borderId="1" xfId="1" applyFont="1" applyFill="1" applyBorder="1"/>
    <xf numFmtId="43" fontId="0" fillId="5" borderId="1" xfId="1" applyFont="1" applyFill="1" applyBorder="1"/>
    <xf numFmtId="43" fontId="0" fillId="2" borderId="0" xfId="1" applyFont="1" applyFill="1"/>
    <xf numFmtId="0" fontId="3" fillId="5" borderId="1" xfId="0" applyFont="1" applyFill="1" applyBorder="1"/>
    <xf numFmtId="0" fontId="4" fillId="5" borderId="1" xfId="0" applyFont="1" applyFill="1" applyBorder="1" applyAlignment="1">
      <alignment horizontal="right" vertical="center"/>
    </xf>
    <xf numFmtId="0" fontId="5" fillId="5" borderId="1" xfId="0" applyFont="1" applyFill="1" applyBorder="1" applyAlignment="1">
      <alignment horizontal="right" vertical="center"/>
    </xf>
    <xf numFmtId="0" fontId="3" fillId="3" borderId="1" xfId="0" applyFont="1" applyFill="1" applyBorder="1"/>
    <xf numFmtId="0" fontId="3" fillId="2" borderId="1" xfId="0" applyFont="1" applyFill="1" applyBorder="1"/>
    <xf numFmtId="0" fontId="4" fillId="2" borderId="1" xfId="0" applyFont="1" applyFill="1" applyBorder="1" applyAlignment="1">
      <alignment horizontal="right" vertical="center"/>
    </xf>
    <xf numFmtId="0" fontId="5" fillId="2" borderId="1" xfId="0" applyFont="1" applyFill="1" applyBorder="1" applyAlignment="1">
      <alignment horizontal="right" vertical="center"/>
    </xf>
    <xf numFmtId="43" fontId="3" fillId="2" borderId="1" xfId="0" applyNumberFormat="1" applyFont="1" applyFill="1" applyBorder="1"/>
    <xf numFmtId="43" fontId="2" fillId="2" borderId="1" xfId="0" applyNumberFormat="1" applyFont="1" applyFill="1" applyBorder="1"/>
    <xf numFmtId="0" fontId="2" fillId="2" borderId="1" xfId="0" applyFont="1" applyFill="1" applyBorder="1"/>
    <xf numFmtId="10" fontId="2" fillId="5" borderId="0" xfId="0" applyNumberFormat="1" applyFont="1" applyFill="1" applyBorder="1"/>
    <xf numFmtId="2" fontId="2" fillId="5" borderId="0" xfId="0" applyNumberFormat="1" applyFont="1" applyFill="1" applyBorder="1"/>
    <xf numFmtId="0" fontId="2" fillId="3" borderId="1" xfId="0" applyFont="1" applyFill="1" applyBorder="1" applyAlignment="1"/>
    <xf numFmtId="43" fontId="2" fillId="3" borderId="1" xfId="1" applyFont="1" applyFill="1" applyBorder="1" applyAlignment="1"/>
    <xf numFmtId="0" fontId="3" fillId="5" borderId="4" xfId="0" applyFont="1" applyFill="1" applyBorder="1"/>
    <xf numFmtId="0" fontId="2" fillId="5" borderId="4" xfId="0" applyFont="1" applyFill="1" applyBorder="1" applyAlignment="1"/>
    <xf numFmtId="43" fontId="2" fillId="5" borderId="4" xfId="1" applyFont="1" applyFill="1" applyBorder="1" applyAlignment="1"/>
    <xf numFmtId="0" fontId="2" fillId="5" borderId="4" xfId="0" applyFont="1" applyFill="1" applyBorder="1"/>
    <xf numFmtId="0" fontId="3" fillId="2" borderId="4" xfId="0" applyFont="1" applyFill="1" applyBorder="1"/>
    <xf numFmtId="0" fontId="2" fillId="2" borderId="4" xfId="0" applyFont="1" applyFill="1" applyBorder="1" applyAlignment="1"/>
    <xf numFmtId="43" fontId="2" fillId="2" borderId="4" xfId="1" applyFont="1" applyFill="1" applyBorder="1" applyAlignment="1"/>
    <xf numFmtId="0" fontId="2" fillId="2" borderId="4" xfId="0" applyFont="1" applyFill="1" applyBorder="1"/>
    <xf numFmtId="0" fontId="3" fillId="3" borderId="5" xfId="0" applyFont="1" applyFill="1" applyBorder="1"/>
    <xf numFmtId="0" fontId="3" fillId="5" borderId="5" xfId="0" applyFont="1" applyFill="1" applyBorder="1"/>
    <xf numFmtId="0" fontId="3" fillId="2" borderId="5" xfId="0" applyFont="1" applyFill="1" applyBorder="1"/>
    <xf numFmtId="0" fontId="2" fillId="3" borderId="3" xfId="0" applyFont="1" applyFill="1" applyBorder="1"/>
    <xf numFmtId="0" fontId="2" fillId="5" borderId="6" xfId="0" applyFont="1" applyFill="1" applyBorder="1"/>
    <xf numFmtId="0" fontId="2" fillId="2" borderId="6" xfId="0" applyFont="1" applyFill="1" applyBorder="1"/>
    <xf numFmtId="0" fontId="3" fillId="4" borderId="4" xfId="0" applyFont="1" applyFill="1" applyBorder="1"/>
    <xf numFmtId="0" fontId="2" fillId="4" borderId="4" xfId="0" applyFont="1" applyFill="1" applyBorder="1" applyAlignment="1"/>
    <xf numFmtId="0" fontId="2" fillId="4" borderId="4" xfId="0" applyFont="1" applyFill="1" applyBorder="1"/>
    <xf numFmtId="0" fontId="2" fillId="4" borderId="6" xfId="0" applyFont="1" applyFill="1" applyBorder="1"/>
    <xf numFmtId="0" fontId="5" fillId="3" borderId="3" xfId="0" applyFont="1" applyFill="1" applyBorder="1" applyAlignment="1">
      <alignment horizontal="right" vertical="center"/>
    </xf>
    <xf numFmtId="0" fontId="5" fillId="5" borderId="3" xfId="0" applyFont="1" applyFill="1" applyBorder="1" applyAlignment="1">
      <alignment horizontal="right" vertical="center"/>
    </xf>
    <xf numFmtId="0" fontId="5" fillId="2" borderId="3" xfId="0" applyFont="1" applyFill="1" applyBorder="1" applyAlignment="1">
      <alignment horizontal="right" vertical="center"/>
    </xf>
    <xf numFmtId="10" fontId="2" fillId="2" borderId="1" xfId="0" applyNumberFormat="1" applyFont="1" applyFill="1" applyBorder="1"/>
    <xf numFmtId="43" fontId="2" fillId="2" borderId="1" xfId="1" applyFont="1" applyFill="1" applyBorder="1" applyAlignment="1">
      <alignment horizontal="right" vertical="center"/>
    </xf>
    <xf numFmtId="2" fontId="2" fillId="2" borderId="1" xfId="0" applyNumberFormat="1" applyFont="1" applyFill="1" applyBorder="1"/>
    <xf numFmtId="0" fontId="2" fillId="6" borderId="0" xfId="0" applyFont="1" applyFill="1" applyBorder="1"/>
    <xf numFmtId="2" fontId="2" fillId="6" borderId="0" xfId="0" applyNumberFormat="1" applyFont="1" applyFill="1"/>
    <xf numFmtId="0" fontId="4" fillId="6" borderId="0" xfId="0" applyFont="1" applyFill="1" applyAlignment="1">
      <alignment horizontal="right" vertical="center"/>
    </xf>
    <xf numFmtId="0" fontId="5" fillId="6" borderId="0" xfId="0" applyFont="1" applyFill="1" applyAlignment="1">
      <alignment horizontal="right" vertical="center"/>
    </xf>
    <xf numFmtId="43" fontId="2" fillId="6" borderId="0" xfId="0" applyNumberFormat="1" applyFont="1" applyFill="1"/>
    <xf numFmtId="10" fontId="2" fillId="6" borderId="0" xfId="0" applyNumberFormat="1" applyFont="1" applyFill="1"/>
    <xf numFmtId="10" fontId="2" fillId="0" borderId="0" xfId="0" applyNumberFormat="1" applyFont="1"/>
    <xf numFmtId="43" fontId="2" fillId="6" borderId="0" xfId="1" applyFont="1" applyFill="1"/>
    <xf numFmtId="43" fontId="2" fillId="6" borderId="0" xfId="1" applyFont="1" applyFill="1" applyBorder="1"/>
    <xf numFmtId="43" fontId="11" fillId="3" borderId="0" xfId="1" applyFont="1" applyFill="1"/>
    <xf numFmtId="43" fontId="11" fillId="3" borderId="1" xfId="1" applyFont="1" applyFill="1" applyBorder="1"/>
    <xf numFmtId="43" fontId="12" fillId="3" borderId="0" xfId="1" applyFont="1" applyFill="1"/>
    <xf numFmtId="43" fontId="12" fillId="3" borderId="1" xfId="1" applyFont="1" applyFill="1" applyBorder="1"/>
    <xf numFmtId="43" fontId="11" fillId="5" borderId="0" xfId="1" applyFont="1" applyFill="1"/>
    <xf numFmtId="43" fontId="11" fillId="5" borderId="1" xfId="1" applyFont="1" applyFill="1" applyBorder="1"/>
    <xf numFmtId="43" fontId="11" fillId="2" borderId="0" xfId="1" applyFont="1" applyFill="1"/>
    <xf numFmtId="43" fontId="12" fillId="5" borderId="0" xfId="1" applyFont="1" applyFill="1"/>
    <xf numFmtId="43" fontId="12" fillId="5" borderId="1" xfId="1" applyFont="1" applyFill="1" applyBorder="1"/>
    <xf numFmtId="43" fontId="12" fillId="2" borderId="0" xfId="1" applyFont="1" applyFill="1"/>
    <xf numFmtId="43" fontId="12" fillId="3" borderId="0" xfId="1" applyFont="1" applyFill="1" applyBorder="1"/>
    <xf numFmtId="10" fontId="2" fillId="0" borderId="0" xfId="1" applyNumberFormat="1" applyFont="1"/>
    <xf numFmtId="0" fontId="2" fillId="4" borderId="8" xfId="0" applyFont="1" applyFill="1" applyBorder="1"/>
    <xf numFmtId="0" fontId="3" fillId="3" borderId="8" xfId="0" applyFont="1" applyFill="1" applyBorder="1" applyAlignment="1">
      <alignment horizontal="center"/>
    </xf>
    <xf numFmtId="0" fontId="3" fillId="5" borderId="8" xfId="0" applyFont="1" applyFill="1" applyBorder="1" applyAlignment="1">
      <alignment horizontal="center"/>
    </xf>
    <xf numFmtId="0" fontId="3" fillId="2" borderId="8" xfId="0" applyFont="1" applyFill="1" applyBorder="1" applyAlignment="1">
      <alignment horizontal="center"/>
    </xf>
    <xf numFmtId="0" fontId="2" fillId="4" borderId="8" xfId="0" applyFont="1" applyFill="1" applyBorder="1" applyAlignment="1">
      <alignment vertical="center"/>
    </xf>
    <xf numFmtId="0" fontId="4" fillId="3" borderId="8" xfId="0" applyFont="1" applyFill="1" applyBorder="1" applyAlignment="1">
      <alignment horizontal="right" vertical="center"/>
    </xf>
    <xf numFmtId="0" fontId="4" fillId="5" borderId="8" xfId="1" applyNumberFormat="1" applyFont="1" applyFill="1" applyBorder="1" applyAlignment="1">
      <alignment horizontal="right" vertical="center"/>
    </xf>
    <xf numFmtId="0" fontId="4" fillId="2" borderId="8" xfId="0" applyFont="1" applyFill="1" applyBorder="1" applyAlignment="1">
      <alignment horizontal="right" vertical="center"/>
    </xf>
    <xf numFmtId="0" fontId="0" fillId="0" borderId="8" xfId="0" applyBorder="1"/>
    <xf numFmtId="43" fontId="0" fillId="0" borderId="8" xfId="1" applyFont="1" applyBorder="1"/>
    <xf numFmtId="0" fontId="10" fillId="0" borderId="8" xfId="0" applyFont="1" applyBorder="1"/>
    <xf numFmtId="43" fontId="10" fillId="0" borderId="8" xfId="1" applyFont="1" applyBorder="1"/>
    <xf numFmtId="43" fontId="2" fillId="2" borderId="2" xfId="0" applyNumberFormat="1" applyFont="1" applyFill="1" applyBorder="1"/>
    <xf numFmtId="43" fontId="2" fillId="2" borderId="0" xfId="0" applyNumberFormat="1" applyFont="1" applyFill="1" applyBorder="1"/>
    <xf numFmtId="0" fontId="7" fillId="0" borderId="0" xfId="3"/>
    <xf numFmtId="3" fontId="15" fillId="0" borderId="0" xfId="0" applyNumberFormat="1" applyFont="1"/>
    <xf numFmtId="10" fontId="3" fillId="2" borderId="9" xfId="0" applyNumberFormat="1" applyFont="1" applyFill="1" applyBorder="1"/>
    <xf numFmtId="10" fontId="2" fillId="2" borderId="8" xfId="1" applyNumberFormat="1" applyFont="1" applyFill="1" applyBorder="1"/>
    <xf numFmtId="0" fontId="3" fillId="6" borderId="8" xfId="0" applyFont="1" applyFill="1" applyBorder="1"/>
    <xf numFmtId="10" fontId="3" fillId="3" borderId="9" xfId="0" applyNumberFormat="1" applyFont="1" applyFill="1" applyBorder="1"/>
    <xf numFmtId="10" fontId="3" fillId="3" borderId="10" xfId="0" applyNumberFormat="1" applyFont="1" applyFill="1" applyBorder="1"/>
    <xf numFmtId="0" fontId="3" fillId="4" borderId="8" xfId="0" applyFont="1" applyFill="1" applyBorder="1" applyAlignment="1">
      <alignment horizontal="left" vertical="center"/>
    </xf>
    <xf numFmtId="10" fontId="2" fillId="2" borderId="4" xfId="1" applyNumberFormat="1" applyFont="1" applyFill="1" applyBorder="1"/>
    <xf numFmtId="10" fontId="6" fillId="6" borderId="4" xfId="0" applyNumberFormat="1" applyFont="1" applyFill="1" applyBorder="1"/>
    <xf numFmtId="10" fontId="6" fillId="3" borderId="1" xfId="1" applyNumberFormat="1" applyFont="1" applyFill="1" applyBorder="1" applyAlignment="1">
      <alignment horizontal="right" vertical="center"/>
    </xf>
    <xf numFmtId="10" fontId="6" fillId="3" borderId="0" xfId="1" applyNumberFormat="1" applyFont="1" applyFill="1" applyBorder="1"/>
    <xf numFmtId="10" fontId="6" fillId="4" borderId="4" xfId="0" applyNumberFormat="1" applyFont="1" applyFill="1" applyBorder="1"/>
    <xf numFmtId="0" fontId="2" fillId="6" borderId="4" xfId="0" applyFont="1" applyFill="1" applyBorder="1"/>
    <xf numFmtId="0" fontId="2" fillId="4" borderId="4" xfId="0" applyFont="1" applyFill="1" applyBorder="1" applyAlignment="1">
      <alignment horizontal="left" vertical="center"/>
    </xf>
    <xf numFmtId="0" fontId="3" fillId="4" borderId="8" xfId="0" applyFont="1" applyFill="1" applyBorder="1"/>
    <xf numFmtId="0" fontId="16" fillId="0" borderId="0" xfId="0" applyFont="1"/>
    <xf numFmtId="0" fontId="16" fillId="2" borderId="1" xfId="0" applyFont="1" applyFill="1" applyBorder="1"/>
    <xf numFmtId="10" fontId="16" fillId="2" borderId="4" xfId="1" applyNumberFormat="1" applyFont="1" applyFill="1" applyBorder="1"/>
    <xf numFmtId="43" fontId="16" fillId="2" borderId="1" xfId="0" applyNumberFormat="1" applyFont="1" applyFill="1" applyBorder="1"/>
    <xf numFmtId="10" fontId="6" fillId="3" borderId="1" xfId="1" applyNumberFormat="1" applyFont="1" applyFill="1" applyBorder="1"/>
    <xf numFmtId="43" fontId="3" fillId="2" borderId="9" xfId="1" applyFont="1" applyFill="1" applyBorder="1"/>
    <xf numFmtId="10" fontId="17" fillId="2" borderId="8" xfId="1" applyNumberFormat="1" applyFont="1" applyFill="1" applyBorder="1"/>
    <xf numFmtId="43" fontId="3" fillId="3" borderId="9" xfId="1" applyFont="1" applyFill="1" applyBorder="1"/>
    <xf numFmtId="43" fontId="3" fillId="3" borderId="10" xfId="1" applyFont="1" applyFill="1" applyBorder="1"/>
    <xf numFmtId="10" fontId="16" fillId="2" borderId="7" xfId="1" applyNumberFormat="1" applyFont="1" applyFill="1" applyBorder="1"/>
    <xf numFmtId="0" fontId="17" fillId="2" borderId="6" xfId="0" applyFont="1" applyFill="1" applyBorder="1"/>
    <xf numFmtId="0" fontId="17" fillId="2" borderId="11" xfId="0" applyFont="1" applyFill="1" applyBorder="1"/>
    <xf numFmtId="0" fontId="3" fillId="6" borderId="6" xfId="0" applyFont="1" applyFill="1" applyBorder="1"/>
    <xf numFmtId="0" fontId="5" fillId="3" borderId="12" xfId="0" applyFont="1" applyFill="1" applyBorder="1" applyAlignment="1">
      <alignment horizontal="right" vertical="center"/>
    </xf>
    <xf numFmtId="0" fontId="16" fillId="2" borderId="4" xfId="0" applyFont="1" applyFill="1" applyBorder="1"/>
    <xf numFmtId="0" fontId="16" fillId="2" borderId="2" xfId="0" applyFont="1" applyFill="1" applyBorder="1"/>
    <xf numFmtId="0" fontId="16" fillId="2" borderId="7" xfId="0" applyFont="1" applyFill="1" applyBorder="1"/>
    <xf numFmtId="0" fontId="16" fillId="2" borderId="13" xfId="0" applyFont="1" applyFill="1" applyBorder="1"/>
    <xf numFmtId="0" fontId="2" fillId="6" borderId="7" xfId="0" applyFont="1" applyFill="1" applyBorder="1"/>
    <xf numFmtId="0" fontId="2" fillId="4" borderId="7" xfId="0" applyFont="1" applyFill="1" applyBorder="1"/>
    <xf numFmtId="43" fontId="2" fillId="0" borderId="0" xfId="0" applyNumberFormat="1" applyFont="1"/>
    <xf numFmtId="0" fontId="2" fillId="0" borderId="8" xfId="0" applyFont="1" applyBorder="1"/>
    <xf numFmtId="10" fontId="2" fillId="0" borderId="8" xfId="0" applyNumberFormat="1" applyFont="1" applyBorder="1"/>
    <xf numFmtId="43" fontId="15" fillId="0" borderId="8" xfId="1" applyFont="1" applyBorder="1"/>
    <xf numFmtId="10" fontId="2" fillId="0" borderId="8" xfId="1" applyNumberFormat="1" applyFont="1" applyFill="1" applyBorder="1"/>
    <xf numFmtId="10" fontId="2" fillId="0" borderId="8" xfId="1" applyNumberFormat="1" applyFont="1" applyBorder="1"/>
    <xf numFmtId="0" fontId="3" fillId="0" borderId="8" xfId="0" applyFont="1" applyBorder="1"/>
    <xf numFmtId="10" fontId="2" fillId="0" borderId="0" xfId="4" applyNumberFormat="1" applyFont="1"/>
    <xf numFmtId="43" fontId="2" fillId="0" borderId="1" xfId="0" applyNumberFormat="1" applyFont="1" applyBorder="1"/>
    <xf numFmtId="10" fontId="3" fillId="0" borderId="8" xfId="1" applyNumberFormat="1" applyFont="1" applyBorder="1"/>
    <xf numFmtId="3" fontId="2" fillId="0" borderId="1" xfId="0" applyNumberFormat="1" applyFont="1" applyBorder="1"/>
    <xf numFmtId="43" fontId="2" fillId="0" borderId="8" xfId="1" applyFont="1" applyBorder="1"/>
    <xf numFmtId="3" fontId="2" fillId="0" borderId="12" xfId="0" applyNumberFormat="1" applyFont="1" applyBorder="1"/>
    <xf numFmtId="43" fontId="2" fillId="0" borderId="12" xfId="0" applyNumberFormat="1" applyFont="1" applyBorder="1"/>
    <xf numFmtId="3" fontId="2" fillId="0" borderId="0" xfId="0" applyNumberFormat="1" applyFont="1"/>
    <xf numFmtId="165" fontId="2" fillId="0" borderId="0" xfId="0" applyNumberFormat="1" applyFont="1"/>
    <xf numFmtId="43" fontId="3" fillId="0" borderId="8" xfId="1" applyFont="1" applyBorder="1"/>
    <xf numFmtId="4" fontId="2" fillId="0" borderId="12" xfId="0" applyNumberFormat="1" applyFont="1" applyBorder="1"/>
    <xf numFmtId="0" fontId="18" fillId="0" borderId="0" xfId="0" applyFont="1"/>
    <xf numFmtId="43" fontId="18" fillId="0" borderId="0" xfId="0" applyNumberFormat="1" applyFont="1"/>
    <xf numFmtId="43" fontId="19" fillId="0" borderId="0" xfId="0" applyNumberFormat="1" applyFont="1"/>
    <xf numFmtId="43" fontId="10" fillId="0" borderId="0" xfId="0" applyNumberFormat="1" applyFont="1"/>
    <xf numFmtId="0" fontId="19" fillId="0" borderId="0" xfId="0" applyFont="1"/>
    <xf numFmtId="43" fontId="10" fillId="0" borderId="0" xfId="1" applyFont="1"/>
    <xf numFmtId="10" fontId="6" fillId="3" borderId="0" xfId="0" applyNumberFormat="1" applyFont="1" applyFill="1"/>
    <xf numFmtId="10" fontId="6" fillId="3" borderId="1" xfId="0" applyNumberFormat="1" applyFont="1" applyFill="1" applyBorder="1"/>
    <xf numFmtId="0" fontId="2" fillId="0" borderId="14" xfId="0" applyFont="1" applyBorder="1"/>
    <xf numFmtId="0" fontId="20" fillId="0" borderId="0" xfId="0" applyFont="1"/>
    <xf numFmtId="0" fontId="10" fillId="4" borderId="8" xfId="0" applyFont="1" applyFill="1" applyBorder="1"/>
    <xf numFmtId="0" fontId="10" fillId="3" borderId="8" xfId="0" applyFont="1" applyFill="1" applyBorder="1"/>
    <xf numFmtId="43" fontId="10" fillId="3" borderId="9" xfId="1" applyFont="1" applyFill="1" applyBorder="1"/>
    <xf numFmtId="43" fontId="10" fillId="5" borderId="9" xfId="1" applyFont="1" applyFill="1" applyBorder="1"/>
    <xf numFmtId="43" fontId="10" fillId="2" borderId="10" xfId="1" applyFont="1" applyFill="1" applyBorder="1"/>
    <xf numFmtId="0" fontId="10" fillId="0" borderId="10" xfId="0" applyFont="1" applyBorder="1"/>
    <xf numFmtId="43" fontId="0" fillId="3" borderId="5" xfId="1" applyFont="1" applyFill="1" applyBorder="1"/>
    <xf numFmtId="43" fontId="0" fillId="5" borderId="5" xfId="1" applyFont="1" applyFill="1" applyBorder="1"/>
    <xf numFmtId="43" fontId="0" fillId="2" borderId="14" xfId="1" applyFont="1" applyFill="1" applyBorder="1"/>
    <xf numFmtId="0" fontId="0" fillId="0" borderId="14" xfId="0" applyBorder="1"/>
    <xf numFmtId="0" fontId="11" fillId="4" borderId="7" xfId="0" applyNumberFormat="1" applyFont="1" applyFill="1" applyBorder="1" applyAlignment="1"/>
    <xf numFmtId="0" fontId="10" fillId="4" borderId="7" xfId="0" applyFont="1" applyFill="1" applyBorder="1"/>
    <xf numFmtId="0" fontId="0" fillId="4" borderId="4" xfId="0" applyFill="1" applyBorder="1"/>
    <xf numFmtId="0" fontId="10" fillId="4" borderId="4" xfId="0" applyFont="1" applyFill="1" applyBorder="1"/>
    <xf numFmtId="0" fontId="0" fillId="4" borderId="1" xfId="0" applyFill="1" applyBorder="1"/>
    <xf numFmtId="0" fontId="14" fillId="3" borderId="4" xfId="0" applyFont="1" applyFill="1" applyBorder="1" applyAlignment="1">
      <alignment horizontal="right" vertical="center"/>
    </xf>
    <xf numFmtId="0" fontId="0" fillId="3" borderId="7" xfId="0" applyFill="1" applyBorder="1"/>
    <xf numFmtId="10" fontId="0" fillId="3" borderId="4" xfId="0" applyNumberFormat="1" applyFill="1" applyBorder="1"/>
    <xf numFmtId="43" fontId="0" fillId="3" borderId="4" xfId="0" applyNumberFormat="1" applyFill="1" applyBorder="1"/>
    <xf numFmtId="0" fontId="0" fillId="3" borderId="4" xfId="0" applyFill="1" applyBorder="1"/>
    <xf numFmtId="43" fontId="14" fillId="5" borderId="4" xfId="1" applyFont="1" applyFill="1" applyBorder="1" applyAlignment="1">
      <alignment horizontal="right" vertical="center"/>
    </xf>
    <xf numFmtId="0" fontId="0" fillId="5" borderId="7" xfId="0" applyFill="1" applyBorder="1"/>
    <xf numFmtId="10" fontId="0" fillId="5" borderId="4" xfId="0" applyNumberFormat="1" applyFill="1" applyBorder="1"/>
    <xf numFmtId="43" fontId="0" fillId="5" borderId="4" xfId="0" applyNumberFormat="1" applyFill="1" applyBorder="1"/>
    <xf numFmtId="0" fontId="0" fillId="5" borderId="4" xfId="0" applyFill="1" applyBorder="1"/>
    <xf numFmtId="0" fontId="10" fillId="5" borderId="8" xfId="0" applyFont="1" applyFill="1" applyBorder="1"/>
    <xf numFmtId="0" fontId="14" fillId="2" borderId="1" xfId="0" applyFont="1" applyFill="1" applyBorder="1" applyAlignment="1">
      <alignment horizontal="right" vertical="center"/>
    </xf>
    <xf numFmtId="0" fontId="0" fillId="2" borderId="5" xfId="0" applyFill="1" applyBorder="1"/>
    <xf numFmtId="10" fontId="0" fillId="2" borderId="1" xfId="0" applyNumberFormat="1" applyFill="1" applyBorder="1"/>
    <xf numFmtId="43" fontId="0" fillId="2" borderId="1" xfId="0" applyNumberFormat="1" applyFill="1" applyBorder="1"/>
    <xf numFmtId="0" fontId="0" fillId="2" borderId="1" xfId="0" applyFill="1" applyBorder="1"/>
    <xf numFmtId="0" fontId="10" fillId="2" borderId="9" xfId="0" applyFont="1" applyFill="1" applyBorder="1"/>
    <xf numFmtId="0" fontId="13" fillId="3" borderId="7" xfId="0" applyFont="1" applyFill="1" applyBorder="1" applyAlignment="1">
      <alignment horizontal="right" vertical="center"/>
    </xf>
    <xf numFmtId="43" fontId="13" fillId="3" borderId="5" xfId="1" applyFont="1" applyFill="1" applyBorder="1" applyAlignment="1">
      <alignment horizontal="right" vertical="center"/>
    </xf>
    <xf numFmtId="0" fontId="13" fillId="5" borderId="7" xfId="1" applyNumberFormat="1" applyFont="1" applyFill="1" applyBorder="1" applyAlignment="1">
      <alignment horizontal="right" vertical="center"/>
    </xf>
    <xf numFmtId="43" fontId="13" fillId="5" borderId="5" xfId="1" applyFont="1" applyFill="1" applyBorder="1" applyAlignment="1">
      <alignment horizontal="right" vertical="center"/>
    </xf>
    <xf numFmtId="0" fontId="13" fillId="2" borderId="5" xfId="0" applyFont="1" applyFill="1" applyBorder="1" applyAlignment="1">
      <alignment horizontal="right" vertical="center"/>
    </xf>
    <xf numFmtId="43" fontId="13" fillId="2" borderId="14" xfId="1" applyFont="1" applyFill="1" applyBorder="1" applyAlignment="1">
      <alignment horizontal="right" vertical="center"/>
    </xf>
    <xf numFmtId="0" fontId="11" fillId="0" borderId="14" xfId="0" applyFont="1" applyBorder="1"/>
    <xf numFmtId="10" fontId="2" fillId="3" borderId="0" xfId="0" applyNumberFormat="1" applyFont="1" applyFill="1" applyBorder="1"/>
    <xf numFmtId="10" fontId="2" fillId="3" borderId="10" xfId="0" applyNumberFormat="1" applyFont="1" applyFill="1" applyBorder="1"/>
    <xf numFmtId="10" fontId="2" fillId="3" borderId="9" xfId="0" applyNumberFormat="1" applyFont="1" applyFill="1" applyBorder="1"/>
    <xf numFmtId="0" fontId="2" fillId="0" borderId="12" xfId="0" applyFont="1" applyBorder="1"/>
    <xf numFmtId="0" fontId="2" fillId="4" borderId="1" xfId="0" applyFont="1" applyFill="1" applyBorder="1"/>
    <xf numFmtId="0" fontId="3" fillId="4" borderId="8" xfId="0" applyNumberFormat="1" applyFont="1" applyFill="1" applyBorder="1"/>
    <xf numFmtId="0" fontId="3" fillId="3" borderId="0" xfId="0" applyFont="1" applyFill="1" applyAlignment="1">
      <alignment horizontal="center"/>
    </xf>
    <xf numFmtId="0" fontId="3" fillId="5" borderId="0" xfId="0" applyFont="1" applyFill="1" applyAlignment="1">
      <alignment horizontal="center"/>
    </xf>
    <xf numFmtId="0" fontId="3" fillId="2" borderId="0" xfId="0" applyFont="1" applyFill="1" applyAlignment="1">
      <alignment horizontal="center"/>
    </xf>
    <xf numFmtId="0" fontId="2" fillId="4" borderId="0" xfId="0" applyFont="1" applyFill="1" applyAlignment="1">
      <alignment vertical="center"/>
    </xf>
    <xf numFmtId="0" fontId="2" fillId="4" borderId="0" xfId="0" applyNumberFormat="1" applyFont="1" applyFill="1" applyAlignment="1">
      <alignment vertical="center"/>
    </xf>
    <xf numFmtId="0" fontId="3" fillId="0" borderId="0" xfId="0" applyFont="1" applyAlignment="1">
      <alignment horizontal="center"/>
    </xf>
    <xf numFmtId="0" fontId="2" fillId="0" borderId="0" xfId="0" applyFont="1" applyAlignment="1">
      <alignment horizontal="center"/>
    </xf>
    <xf numFmtId="0" fontId="3" fillId="3" borderId="0" xfId="0" applyFont="1" applyFill="1" applyBorder="1" applyAlignment="1">
      <alignment horizontal="center"/>
    </xf>
    <xf numFmtId="0" fontId="3" fillId="3" borderId="1" xfId="0" applyFont="1" applyFill="1" applyBorder="1" applyAlignment="1">
      <alignment horizontal="center"/>
    </xf>
    <xf numFmtId="0" fontId="3" fillId="5" borderId="2" xfId="0" applyFont="1" applyFill="1" applyBorder="1" applyAlignment="1">
      <alignment horizontal="center"/>
    </xf>
    <xf numFmtId="0" fontId="3" fillId="5" borderId="0" xfId="0" applyFont="1" applyFill="1" applyBorder="1" applyAlignment="1">
      <alignment horizontal="center"/>
    </xf>
    <xf numFmtId="0" fontId="3" fillId="5" borderId="1" xfId="0" applyFont="1" applyFill="1" applyBorder="1" applyAlignment="1">
      <alignment horizontal="center"/>
    </xf>
    <xf numFmtId="0" fontId="3" fillId="3" borderId="10" xfId="0" applyFont="1" applyFill="1" applyBorder="1" applyAlignment="1">
      <alignment horizontal="center"/>
    </xf>
    <xf numFmtId="0" fontId="3" fillId="3" borderId="9" xfId="0" applyFont="1" applyFill="1" applyBorder="1" applyAlignment="1">
      <alignment horizontal="center"/>
    </xf>
    <xf numFmtId="0" fontId="2" fillId="4" borderId="4" xfId="0" applyNumberFormat="1" applyFont="1" applyFill="1" applyBorder="1" applyAlignment="1">
      <alignment vertical="center"/>
    </xf>
    <xf numFmtId="0" fontId="2" fillId="4" borderId="0" xfId="0" applyNumberFormat="1" applyFont="1" applyFill="1" applyAlignment="1">
      <alignment horizontal="left" vertical="center"/>
    </xf>
    <xf numFmtId="0" fontId="3" fillId="6" borderId="0" xfId="0" applyFont="1" applyFill="1" applyAlignment="1">
      <alignment horizontal="center"/>
    </xf>
    <xf numFmtId="0" fontId="2" fillId="4" borderId="0" xfId="0" applyFont="1" applyFill="1" applyAlignment="1">
      <alignment horizontal="center" vertical="center"/>
    </xf>
    <xf numFmtId="0" fontId="2" fillId="0" borderId="0" xfId="0" applyFont="1" applyFill="1" applyAlignment="1">
      <alignment horizontal="left" wrapText="1"/>
    </xf>
    <xf numFmtId="0" fontId="2" fillId="4" borderId="7"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6" xfId="0" applyFont="1" applyFill="1" applyBorder="1" applyAlignment="1">
      <alignment horizontal="center" vertical="center"/>
    </xf>
    <xf numFmtId="0" fontId="12" fillId="3" borderId="0" xfId="0" applyFont="1" applyFill="1" applyBorder="1" applyAlignment="1">
      <alignment horizontal="center"/>
    </xf>
    <xf numFmtId="0" fontId="12" fillId="3" borderId="1" xfId="0" applyFont="1" applyFill="1" applyBorder="1" applyAlignment="1">
      <alignment horizontal="center"/>
    </xf>
    <xf numFmtId="0" fontId="12" fillId="5" borderId="2" xfId="0" applyFont="1" applyFill="1" applyBorder="1" applyAlignment="1">
      <alignment horizontal="center"/>
    </xf>
    <xf numFmtId="0" fontId="12" fillId="5" borderId="0" xfId="0" applyFont="1" applyFill="1" applyBorder="1" applyAlignment="1">
      <alignment horizontal="center"/>
    </xf>
    <xf numFmtId="0" fontId="12" fillId="5" borderId="1" xfId="0" applyFont="1" applyFill="1" applyBorder="1" applyAlignment="1">
      <alignment horizontal="center"/>
    </xf>
    <xf numFmtId="0" fontId="12" fillId="2" borderId="0" xfId="0" applyFont="1" applyFill="1" applyAlignment="1">
      <alignment horizontal="center"/>
    </xf>
    <xf numFmtId="0" fontId="11" fillId="4" borderId="0" xfId="0" applyNumberFormat="1" applyFont="1" applyFill="1" applyAlignment="1">
      <alignment vertical="center"/>
    </xf>
    <xf numFmtId="0" fontId="12" fillId="3" borderId="14" xfId="0" applyFont="1" applyFill="1" applyBorder="1" applyAlignment="1">
      <alignment horizontal="center"/>
    </xf>
    <xf numFmtId="0" fontId="12" fillId="3" borderId="5" xfId="0" applyFont="1" applyFill="1" applyBorder="1" applyAlignment="1">
      <alignment horizontal="center"/>
    </xf>
    <xf numFmtId="0" fontId="11" fillId="4" borderId="4" xfId="0" applyNumberFormat="1" applyFont="1" applyFill="1" applyBorder="1" applyAlignment="1">
      <alignment vertical="center"/>
    </xf>
    <xf numFmtId="0" fontId="3" fillId="3" borderId="14" xfId="0" applyFont="1" applyFill="1" applyBorder="1" applyAlignment="1">
      <alignment horizontal="center"/>
    </xf>
    <xf numFmtId="0" fontId="3" fillId="3" borderId="5" xfId="0" applyFont="1" applyFill="1" applyBorder="1" applyAlignment="1">
      <alignment horizontal="center"/>
    </xf>
    <xf numFmtId="0" fontId="2" fillId="4" borderId="4" xfId="0" applyFont="1" applyFill="1" applyBorder="1" applyAlignment="1">
      <alignment vertical="center"/>
    </xf>
    <xf numFmtId="0" fontId="2" fillId="4" borderId="6" xfId="0" applyFont="1" applyFill="1" applyBorder="1" applyAlignment="1">
      <alignment vertical="center"/>
    </xf>
    <xf numFmtId="0" fontId="2" fillId="0" borderId="0" xfId="0" applyFont="1" applyAlignment="1">
      <alignment horizontal="left" wrapText="1"/>
    </xf>
  </cellXfs>
  <cellStyles count="5">
    <cellStyle name="Comma" xfId="1" builtinId="3"/>
    <cellStyle name="Currency" xfId="2" builtinId="4"/>
    <cellStyle name="Hyperlink" xfId="3"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Return on Assets (ROA)</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NP"/>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'Profitability Ratios'!$R$18</c:f>
              <c:strCache>
                <c:ptCount val="1"/>
                <c:pt idx="0">
                  <c:v>GM</c:v>
                </c:pt>
              </c:strCache>
            </c:strRef>
          </c:tx>
          <c:spPr>
            <a:solidFill>
              <a:schemeClr val="accent1"/>
            </a:solidFill>
            <a:ln>
              <a:noFill/>
            </a:ln>
            <a:effectLst/>
            <a:sp3d/>
          </c:spPr>
          <c:invertIfNegative val="0"/>
          <c:cat>
            <c:numRef>
              <c:f>'Profitability Ratios'!$S$17:$W$17</c:f>
              <c:numCache>
                <c:formatCode>General</c:formatCode>
                <c:ptCount val="5"/>
                <c:pt idx="0">
                  <c:v>2020</c:v>
                </c:pt>
                <c:pt idx="1">
                  <c:v>2019</c:v>
                </c:pt>
                <c:pt idx="2">
                  <c:v>2018</c:v>
                </c:pt>
                <c:pt idx="3">
                  <c:v>2017</c:v>
                </c:pt>
                <c:pt idx="4">
                  <c:v>2016</c:v>
                </c:pt>
              </c:numCache>
            </c:numRef>
          </c:cat>
          <c:val>
            <c:numRef>
              <c:f>'Profitability Ratios'!$S$18:$W$18</c:f>
              <c:numCache>
                <c:formatCode>0.00%</c:formatCode>
                <c:ptCount val="5"/>
                <c:pt idx="0">
                  <c:v>2.6561051727510054E-2</c:v>
                </c:pt>
                <c:pt idx="1">
                  <c:v>2.8859351771861583E-2</c:v>
                </c:pt>
                <c:pt idx="2">
                  <c:v>3.4820246416145055E-2</c:v>
                </c:pt>
                <c:pt idx="3">
                  <c:v>-1.8260370290189287E-2</c:v>
                </c:pt>
                <c:pt idx="4">
                  <c:v>4.2523343407460869E-2</c:v>
                </c:pt>
              </c:numCache>
            </c:numRef>
          </c:val>
          <c:extLst>
            <c:ext xmlns:c16="http://schemas.microsoft.com/office/drawing/2014/chart" uri="{C3380CC4-5D6E-409C-BE32-E72D297353CC}">
              <c16:uniqueId val="{00000000-47B2-1344-9E1D-C8A13EEA7CE1}"/>
            </c:ext>
          </c:extLst>
        </c:ser>
        <c:ser>
          <c:idx val="1"/>
          <c:order val="1"/>
          <c:tx>
            <c:strRef>
              <c:f>'Profitability Ratios'!$R$19</c:f>
              <c:strCache>
                <c:ptCount val="1"/>
                <c:pt idx="0">
                  <c:v>Industry</c:v>
                </c:pt>
              </c:strCache>
            </c:strRef>
          </c:tx>
          <c:spPr>
            <a:solidFill>
              <a:schemeClr val="accent4"/>
            </a:solidFill>
            <a:ln>
              <a:noFill/>
            </a:ln>
            <a:effectLst/>
            <a:sp3d/>
          </c:spPr>
          <c:invertIfNegative val="0"/>
          <c:cat>
            <c:numRef>
              <c:f>'Profitability Ratios'!$S$17:$W$17</c:f>
              <c:numCache>
                <c:formatCode>General</c:formatCode>
                <c:ptCount val="5"/>
                <c:pt idx="0">
                  <c:v>2020</c:v>
                </c:pt>
                <c:pt idx="1">
                  <c:v>2019</c:v>
                </c:pt>
                <c:pt idx="2">
                  <c:v>2018</c:v>
                </c:pt>
                <c:pt idx="3">
                  <c:v>2017</c:v>
                </c:pt>
                <c:pt idx="4">
                  <c:v>2016</c:v>
                </c:pt>
              </c:numCache>
            </c:numRef>
          </c:cat>
          <c:val>
            <c:numRef>
              <c:f>'Profitability Ratios'!$S$19:$W$19</c:f>
              <c:numCache>
                <c:formatCode>0.00%</c:formatCode>
                <c:ptCount val="5"/>
                <c:pt idx="0">
                  <c:v>-7.0000000000000001E-3</c:v>
                </c:pt>
                <c:pt idx="1">
                  <c:v>4.5999999999999999E-2</c:v>
                </c:pt>
                <c:pt idx="2">
                  <c:v>4.5999999999999999E-2</c:v>
                </c:pt>
                <c:pt idx="3">
                  <c:v>1.7999999999999999E-2</c:v>
                </c:pt>
                <c:pt idx="4">
                  <c:v>0.02</c:v>
                </c:pt>
              </c:numCache>
            </c:numRef>
          </c:val>
          <c:extLst>
            <c:ext xmlns:c16="http://schemas.microsoft.com/office/drawing/2014/chart" uri="{C3380CC4-5D6E-409C-BE32-E72D297353CC}">
              <c16:uniqueId val="{00000001-47B2-1344-9E1D-C8A13EEA7CE1}"/>
            </c:ext>
          </c:extLst>
        </c:ser>
        <c:ser>
          <c:idx val="2"/>
          <c:order val="2"/>
          <c:tx>
            <c:strRef>
              <c:f>'Profitability Ratios'!$R$20</c:f>
              <c:strCache>
                <c:ptCount val="1"/>
              </c:strCache>
            </c:strRef>
          </c:tx>
          <c:spPr>
            <a:solidFill>
              <a:schemeClr val="accent3"/>
            </a:solidFill>
            <a:ln>
              <a:noFill/>
            </a:ln>
            <a:effectLst/>
            <a:sp3d/>
          </c:spPr>
          <c:invertIfNegative val="0"/>
          <c:cat>
            <c:numRef>
              <c:f>'Profitability Ratios'!$S$17:$W$17</c:f>
              <c:numCache>
                <c:formatCode>General</c:formatCode>
                <c:ptCount val="5"/>
                <c:pt idx="0">
                  <c:v>2020</c:v>
                </c:pt>
                <c:pt idx="1">
                  <c:v>2019</c:v>
                </c:pt>
                <c:pt idx="2">
                  <c:v>2018</c:v>
                </c:pt>
                <c:pt idx="3">
                  <c:v>2017</c:v>
                </c:pt>
                <c:pt idx="4">
                  <c:v>2016</c:v>
                </c:pt>
              </c:numCache>
            </c:numRef>
          </c:cat>
          <c:val>
            <c:numRef>
              <c:f>'Profitability Ratios'!$S$20:$W$20</c:f>
              <c:numCache>
                <c:formatCode>0.00%</c:formatCode>
                <c:ptCount val="5"/>
              </c:numCache>
            </c:numRef>
          </c:val>
          <c:extLst>
            <c:ext xmlns:c16="http://schemas.microsoft.com/office/drawing/2014/chart" uri="{C3380CC4-5D6E-409C-BE32-E72D297353CC}">
              <c16:uniqueId val="{00000002-47B2-1344-9E1D-C8A13EEA7CE1}"/>
            </c:ext>
          </c:extLst>
        </c:ser>
        <c:dLbls>
          <c:showLegendKey val="0"/>
          <c:showVal val="0"/>
          <c:showCatName val="0"/>
          <c:showSerName val="0"/>
          <c:showPercent val="0"/>
          <c:showBubbleSize val="0"/>
        </c:dLbls>
        <c:gapWidth val="150"/>
        <c:shape val="box"/>
        <c:axId val="1824163759"/>
        <c:axId val="1489284143"/>
        <c:axId val="0"/>
      </c:bar3DChart>
      <c:catAx>
        <c:axId val="1824163759"/>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NP"/>
          </a:p>
        </c:txPr>
        <c:crossAx val="1489284143"/>
        <c:crosses val="autoZero"/>
        <c:auto val="1"/>
        <c:lblAlgn val="ctr"/>
        <c:lblOffset val="1000"/>
        <c:noMultiLvlLbl val="0"/>
      </c:catAx>
      <c:valAx>
        <c:axId val="1489284143"/>
        <c:scaling>
          <c:orientation val="minMax"/>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1824163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Net profit Margin</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NP"/>
        </a:p>
      </c:txPr>
    </c:title>
    <c:autoTitleDeleted val="0"/>
    <c:plotArea>
      <c:layout/>
      <c:barChart>
        <c:barDir val="bar"/>
        <c:grouping val="clustered"/>
        <c:varyColors val="0"/>
        <c:ser>
          <c:idx val="0"/>
          <c:order val="0"/>
          <c:tx>
            <c:strRef>
              <c:f>'Profitability Ratios'!$R$39</c:f>
              <c:strCache>
                <c:ptCount val="1"/>
                <c:pt idx="0">
                  <c:v>GM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'Profitability Ratios'!$S$38:$W$38</c:f>
              <c:numCache>
                <c:formatCode>General</c:formatCode>
                <c:ptCount val="5"/>
                <c:pt idx="0">
                  <c:v>2020</c:v>
                </c:pt>
                <c:pt idx="1">
                  <c:v>2019</c:v>
                </c:pt>
                <c:pt idx="2">
                  <c:v>2018</c:v>
                </c:pt>
                <c:pt idx="3">
                  <c:v>2017</c:v>
                </c:pt>
                <c:pt idx="4">
                  <c:v>2016</c:v>
                </c:pt>
              </c:numCache>
            </c:numRef>
          </c:cat>
          <c:val>
            <c:numRef>
              <c:f>'Profitability Ratios'!$S$39:$W$39</c:f>
              <c:numCache>
                <c:formatCode>0.00%</c:formatCode>
                <c:ptCount val="5"/>
                <c:pt idx="0">
                  <c:v>5.1002163530228191E-2</c:v>
                </c:pt>
                <c:pt idx="1">
                  <c:v>4.7953540226032342E-2</c:v>
                </c:pt>
                <c:pt idx="2">
                  <c:v>5.3832396004053068E-2</c:v>
                </c:pt>
                <c:pt idx="3">
                  <c:v>-2.6650548122097974E-2</c:v>
                </c:pt>
                <c:pt idx="4">
                  <c:v>6.3190422565422566E-2</c:v>
                </c:pt>
              </c:numCache>
            </c:numRef>
          </c:val>
          <c:extLst>
            <c:ext xmlns:c16="http://schemas.microsoft.com/office/drawing/2014/chart" uri="{C3380CC4-5D6E-409C-BE32-E72D297353CC}">
              <c16:uniqueId val="{00000000-2E88-884C-9F0C-0FA16C66ED86}"/>
            </c:ext>
          </c:extLst>
        </c:ser>
        <c:ser>
          <c:idx val="1"/>
          <c:order val="1"/>
          <c:tx>
            <c:strRef>
              <c:f>'Profitability Ratios'!$R$40</c:f>
              <c:strCache>
                <c:ptCount val="1"/>
                <c:pt idx="0">
                  <c:v>Industry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'Profitability Ratios'!$S$38:$W$38</c:f>
              <c:numCache>
                <c:formatCode>General</c:formatCode>
                <c:ptCount val="5"/>
                <c:pt idx="0">
                  <c:v>2020</c:v>
                </c:pt>
                <c:pt idx="1">
                  <c:v>2019</c:v>
                </c:pt>
                <c:pt idx="2">
                  <c:v>2018</c:v>
                </c:pt>
                <c:pt idx="3">
                  <c:v>2017</c:v>
                </c:pt>
                <c:pt idx="4">
                  <c:v>2016</c:v>
                </c:pt>
              </c:numCache>
            </c:numRef>
          </c:cat>
          <c:val>
            <c:numRef>
              <c:f>'Profitability Ratios'!$S$40:$W$40</c:f>
              <c:numCache>
                <c:formatCode>0.00%</c:formatCode>
                <c:ptCount val="5"/>
                <c:pt idx="0">
                  <c:v>2.3E-2</c:v>
                </c:pt>
                <c:pt idx="1">
                  <c:v>1.6E-2</c:v>
                </c:pt>
                <c:pt idx="2">
                  <c:v>3.3000000000000002E-2</c:v>
                </c:pt>
                <c:pt idx="3">
                  <c:v>4.0000000000000001E-3</c:v>
                </c:pt>
                <c:pt idx="4">
                  <c:v>1.4999999999999999E-2</c:v>
                </c:pt>
              </c:numCache>
            </c:numRef>
          </c:val>
          <c:extLst>
            <c:ext xmlns:c16="http://schemas.microsoft.com/office/drawing/2014/chart" uri="{C3380CC4-5D6E-409C-BE32-E72D297353CC}">
              <c16:uniqueId val="{00000001-2E88-884C-9F0C-0FA16C66ED86}"/>
            </c:ext>
          </c:extLst>
        </c:ser>
        <c:dLbls>
          <c:showLegendKey val="0"/>
          <c:showVal val="1"/>
          <c:showCatName val="0"/>
          <c:showSerName val="0"/>
          <c:showPercent val="0"/>
          <c:showBubbleSize val="0"/>
        </c:dLbls>
        <c:gapWidth val="269"/>
        <c:overlap val="-48"/>
        <c:axId val="541009615"/>
        <c:axId val="37818415"/>
      </c:barChart>
      <c:catAx>
        <c:axId val="541009615"/>
        <c:scaling>
          <c:orientation val="minMax"/>
        </c:scaling>
        <c:delete val="0"/>
        <c:axPos val="l"/>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NP"/>
          </a:p>
        </c:txPr>
        <c:crossAx val="37818415"/>
        <c:crosses val="autoZero"/>
        <c:auto val="1"/>
        <c:lblAlgn val="ctr"/>
        <c:lblOffset val="10"/>
        <c:noMultiLvlLbl val="0"/>
      </c:catAx>
      <c:valAx>
        <c:axId val="37818415"/>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5410096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Cash Conversion Cycle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NP"/>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'Liquidity and Efficiency Ratios'!$R$6</c:f>
              <c:strCache>
                <c:ptCount val="1"/>
                <c:pt idx="0">
                  <c:v>GM</c:v>
                </c:pt>
              </c:strCache>
            </c:strRef>
          </c:tx>
          <c:spPr>
            <a:solidFill>
              <a:schemeClr val="accent1"/>
            </a:solidFill>
            <a:ln>
              <a:noFill/>
            </a:ln>
            <a:effectLst/>
            <a:sp3d/>
          </c:spPr>
          <c:invertIfNegative val="0"/>
          <c:cat>
            <c:numRef>
              <c:f>'Liquidity and Efficiency Ratios'!$S$5:$W$5</c:f>
              <c:numCache>
                <c:formatCode>General</c:formatCode>
                <c:ptCount val="5"/>
                <c:pt idx="0">
                  <c:v>2020</c:v>
                </c:pt>
                <c:pt idx="1">
                  <c:v>2019</c:v>
                </c:pt>
                <c:pt idx="2">
                  <c:v>2018</c:v>
                </c:pt>
                <c:pt idx="3">
                  <c:v>2017</c:v>
                </c:pt>
                <c:pt idx="4">
                  <c:v>2016</c:v>
                </c:pt>
              </c:numCache>
            </c:numRef>
          </c:cat>
          <c:val>
            <c:numRef>
              <c:f>'Liquidity and Efficiency Ratios'!$S$6:$W$6</c:f>
              <c:numCache>
                <c:formatCode>_(* #,##0.00_);_(* \(#,##0.00\);_(* "-"??_);_(@_)</c:formatCode>
                <c:ptCount val="5"/>
                <c:pt idx="0">
                  <c:v>69.531646347066456</c:v>
                </c:pt>
                <c:pt idx="1">
                  <c:v>57.379527055123326</c:v>
                </c:pt>
                <c:pt idx="2">
                  <c:v>48.637636640336034</c:v>
                </c:pt>
                <c:pt idx="3">
                  <c:v>33.895621153274433</c:v>
                </c:pt>
                <c:pt idx="4">
                  <c:v>26.268419703827817</c:v>
                </c:pt>
              </c:numCache>
            </c:numRef>
          </c:val>
          <c:extLst>
            <c:ext xmlns:c16="http://schemas.microsoft.com/office/drawing/2014/chart" uri="{C3380CC4-5D6E-409C-BE32-E72D297353CC}">
              <c16:uniqueId val="{00000000-FCAB-AA41-B0A3-443A24115CB7}"/>
            </c:ext>
          </c:extLst>
        </c:ser>
        <c:ser>
          <c:idx val="1"/>
          <c:order val="1"/>
          <c:tx>
            <c:strRef>
              <c:f>'Liquidity and Efficiency Ratios'!$R$7</c:f>
              <c:strCache>
                <c:ptCount val="1"/>
                <c:pt idx="0">
                  <c:v>Ford</c:v>
                </c:pt>
              </c:strCache>
            </c:strRef>
          </c:tx>
          <c:spPr>
            <a:solidFill>
              <a:schemeClr val="accent2"/>
            </a:solidFill>
            <a:ln>
              <a:noFill/>
            </a:ln>
            <a:effectLst/>
            <a:sp3d/>
          </c:spPr>
          <c:invertIfNegative val="0"/>
          <c:cat>
            <c:numRef>
              <c:f>'Liquidity and Efficiency Ratios'!$S$5:$W$5</c:f>
              <c:numCache>
                <c:formatCode>General</c:formatCode>
                <c:ptCount val="5"/>
                <c:pt idx="0">
                  <c:v>2020</c:v>
                </c:pt>
                <c:pt idx="1">
                  <c:v>2019</c:v>
                </c:pt>
                <c:pt idx="2">
                  <c:v>2018</c:v>
                </c:pt>
                <c:pt idx="3">
                  <c:v>2017</c:v>
                </c:pt>
                <c:pt idx="4">
                  <c:v>2016</c:v>
                </c:pt>
              </c:numCache>
            </c:numRef>
          </c:cat>
          <c:val>
            <c:numRef>
              <c:f>'Liquidity and Efficiency Ratios'!$S$7:$W$7</c:f>
              <c:numCache>
                <c:formatCode>_(* #,##0.00_);_(* \(#,##0.00\);_(* "-"??_);_(@_)</c:formatCode>
                <c:ptCount val="5"/>
                <c:pt idx="0">
                  <c:v>-8.2035411326781968</c:v>
                </c:pt>
                <c:pt idx="1">
                  <c:v>-5.1663721198746018</c:v>
                </c:pt>
                <c:pt idx="2">
                  <c:v>-2.1040561026848863</c:v>
                </c:pt>
                <c:pt idx="3">
                  <c:v>-8.9718134936935243</c:v>
                </c:pt>
                <c:pt idx="4">
                  <c:v>-9.1648123856876893</c:v>
                </c:pt>
              </c:numCache>
            </c:numRef>
          </c:val>
          <c:extLst>
            <c:ext xmlns:c16="http://schemas.microsoft.com/office/drawing/2014/chart" uri="{C3380CC4-5D6E-409C-BE32-E72D297353CC}">
              <c16:uniqueId val="{00000001-FCAB-AA41-B0A3-443A24115CB7}"/>
            </c:ext>
          </c:extLst>
        </c:ser>
        <c:ser>
          <c:idx val="2"/>
          <c:order val="2"/>
          <c:tx>
            <c:strRef>
              <c:f>'Liquidity and Efficiency Ratios'!$R$8</c:f>
              <c:strCache>
                <c:ptCount val="1"/>
                <c:pt idx="0">
                  <c:v>Tesla</c:v>
                </c:pt>
              </c:strCache>
            </c:strRef>
          </c:tx>
          <c:spPr>
            <a:solidFill>
              <a:schemeClr val="accent3"/>
            </a:solidFill>
            <a:ln>
              <a:noFill/>
            </a:ln>
            <a:effectLst/>
            <a:sp3d/>
          </c:spPr>
          <c:invertIfNegative val="0"/>
          <c:cat>
            <c:numRef>
              <c:f>'Liquidity and Efficiency Ratios'!$S$5:$W$5</c:f>
              <c:numCache>
                <c:formatCode>General</c:formatCode>
                <c:ptCount val="5"/>
                <c:pt idx="0">
                  <c:v>2020</c:v>
                </c:pt>
                <c:pt idx="1">
                  <c:v>2019</c:v>
                </c:pt>
                <c:pt idx="2">
                  <c:v>2018</c:v>
                </c:pt>
                <c:pt idx="3">
                  <c:v>2017</c:v>
                </c:pt>
                <c:pt idx="4">
                  <c:v>2016</c:v>
                </c:pt>
              </c:numCache>
            </c:numRef>
          </c:cat>
          <c:val>
            <c:numRef>
              <c:f>'Liquidity and Efficiency Ratios'!$S$8:$W$8</c:f>
              <c:numCache>
                <c:formatCode>_(* #,##0.00_);_(* \(#,##0.00\);_(* "-"??_);_(@_)</c:formatCode>
                <c:ptCount val="5"/>
                <c:pt idx="0">
                  <c:v>-6.7487475128706222</c:v>
                </c:pt>
                <c:pt idx="1">
                  <c:v>15.764742447521229</c:v>
                </c:pt>
                <c:pt idx="2">
                  <c:v>10.042555829626963</c:v>
                </c:pt>
                <c:pt idx="3">
                  <c:v>11.15695565358584</c:v>
                </c:pt>
                <c:pt idx="4">
                  <c:v>40.046281151411861</c:v>
                </c:pt>
              </c:numCache>
            </c:numRef>
          </c:val>
          <c:extLst>
            <c:ext xmlns:c16="http://schemas.microsoft.com/office/drawing/2014/chart" uri="{C3380CC4-5D6E-409C-BE32-E72D297353CC}">
              <c16:uniqueId val="{00000002-FCAB-AA41-B0A3-443A24115CB7}"/>
            </c:ext>
          </c:extLst>
        </c:ser>
        <c:dLbls>
          <c:showLegendKey val="0"/>
          <c:showVal val="0"/>
          <c:showCatName val="0"/>
          <c:showSerName val="0"/>
          <c:showPercent val="0"/>
          <c:showBubbleSize val="0"/>
        </c:dLbls>
        <c:gapWidth val="150"/>
        <c:shape val="box"/>
        <c:axId val="657032799"/>
        <c:axId val="1936794239"/>
        <c:axId val="0"/>
      </c:bar3DChart>
      <c:catAx>
        <c:axId val="657032799"/>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NP"/>
          </a:p>
        </c:txPr>
        <c:crossAx val="1936794239"/>
        <c:crosses val="autoZero"/>
        <c:auto val="1"/>
        <c:lblAlgn val="ctr"/>
        <c:lblOffset val="500"/>
        <c:noMultiLvlLbl val="0"/>
      </c:catAx>
      <c:valAx>
        <c:axId val="1936794239"/>
        <c:scaling>
          <c:orientation val="minMax"/>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65703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Current Ratio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P"/>
        </a:p>
      </c:txPr>
    </c:title>
    <c:autoTitleDeleted val="0"/>
    <c:plotArea>
      <c:layout/>
      <c:barChart>
        <c:barDir val="bar"/>
        <c:grouping val="clustered"/>
        <c:varyColors val="0"/>
        <c:ser>
          <c:idx val="0"/>
          <c:order val="0"/>
          <c:tx>
            <c:strRef>
              <c:f>'Liquidity and Efficiency Ratios'!$R$27</c:f>
              <c:strCache>
                <c:ptCount val="1"/>
                <c:pt idx="0">
                  <c:v>GM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'Liquidity and Efficiency Ratios'!$S$26:$W$26</c:f>
              <c:numCache>
                <c:formatCode>General</c:formatCode>
                <c:ptCount val="5"/>
                <c:pt idx="0">
                  <c:v>2020</c:v>
                </c:pt>
                <c:pt idx="1">
                  <c:v>2019</c:v>
                </c:pt>
                <c:pt idx="2">
                  <c:v>2018</c:v>
                </c:pt>
                <c:pt idx="3">
                  <c:v>2017</c:v>
                </c:pt>
                <c:pt idx="4">
                  <c:v>2016</c:v>
                </c:pt>
              </c:numCache>
            </c:numRef>
          </c:cat>
          <c:val>
            <c:numRef>
              <c:f>'Liquidity and Efficiency Ratios'!$S$27:$W$27</c:f>
              <c:numCache>
                <c:formatCode>_(* #,##0.00_);_(* \(#,##0.00\);_(* "-"??_);_(@_)</c:formatCode>
                <c:ptCount val="5"/>
                <c:pt idx="0">
                  <c:v>1.0126892754348642</c:v>
                </c:pt>
                <c:pt idx="1">
                  <c:v>0.88324598080207295</c:v>
                </c:pt>
                <c:pt idx="2">
                  <c:v>0.91556112212264551</c:v>
                </c:pt>
                <c:pt idx="3">
                  <c:v>0.89405644427103659</c:v>
                </c:pt>
                <c:pt idx="4">
                  <c:v>0.89460090865333819</c:v>
                </c:pt>
              </c:numCache>
            </c:numRef>
          </c:val>
          <c:extLst>
            <c:ext xmlns:c16="http://schemas.microsoft.com/office/drawing/2014/chart" uri="{C3380CC4-5D6E-409C-BE32-E72D297353CC}">
              <c16:uniqueId val="{00000000-0955-5444-A9AD-99D610DF8463}"/>
            </c:ext>
          </c:extLst>
        </c:ser>
        <c:ser>
          <c:idx val="1"/>
          <c:order val="1"/>
          <c:tx>
            <c:strRef>
              <c:f>'Liquidity and Efficiency Ratios'!$R$28</c:f>
              <c:strCache>
                <c:ptCount val="1"/>
                <c:pt idx="0">
                  <c:v>Industry</c:v>
                </c:pt>
              </c:strCache>
            </c:strRef>
          </c:tx>
          <c:spPr>
            <a:solidFill>
              <a:schemeClr val="accent4"/>
            </a:solidFill>
            <a:ln>
              <a:noFill/>
            </a:ln>
            <a:effectLst/>
          </c:spPr>
          <c:invertIfNegative val="0"/>
          <c:dPt>
            <c:idx val="1"/>
            <c:invertIfNegative val="0"/>
            <c:bubble3D val="0"/>
            <c:spPr>
              <a:solidFill>
                <a:schemeClr val="accent4"/>
              </a:solidFill>
              <a:ln w="31750" cap="rnd">
                <a:noFill/>
                <a:round/>
              </a:ln>
              <a:effectLst/>
            </c:spPr>
            <c:extLst>
              <c:ext xmlns:c16="http://schemas.microsoft.com/office/drawing/2014/chart" uri="{C3380CC4-5D6E-409C-BE32-E72D297353CC}">
                <c16:uniqueId val="{00000005-0955-5444-A9AD-99D610DF8463}"/>
              </c:ext>
            </c:extLst>
          </c:dPt>
          <c:dPt>
            <c:idx val="2"/>
            <c:invertIfNegative val="0"/>
            <c:bubble3D val="0"/>
            <c:spPr>
              <a:solidFill>
                <a:schemeClr val="accent4"/>
              </a:solidFill>
              <a:ln w="31750" cap="rnd">
                <a:noFill/>
                <a:round/>
              </a:ln>
              <a:effectLst/>
            </c:spPr>
            <c:extLst>
              <c:ext xmlns:c16="http://schemas.microsoft.com/office/drawing/2014/chart" uri="{C3380CC4-5D6E-409C-BE32-E72D297353CC}">
                <c16:uniqueId val="{00000006-0955-5444-A9AD-99D610DF8463}"/>
              </c:ext>
            </c:extLst>
          </c:dPt>
          <c:dPt>
            <c:idx val="3"/>
            <c:invertIfNegative val="0"/>
            <c:bubble3D val="0"/>
            <c:spPr>
              <a:solidFill>
                <a:schemeClr val="accent4"/>
              </a:solidFill>
              <a:ln w="31750" cap="rnd">
                <a:noFill/>
                <a:round/>
              </a:ln>
              <a:effectLst/>
            </c:spPr>
            <c:extLst>
              <c:ext xmlns:c16="http://schemas.microsoft.com/office/drawing/2014/chart" uri="{C3380CC4-5D6E-409C-BE32-E72D297353CC}">
                <c16:uniqueId val="{00000004-0955-5444-A9AD-99D610DF8463}"/>
              </c:ext>
            </c:extLst>
          </c:dPt>
          <c:dPt>
            <c:idx val="4"/>
            <c:invertIfNegative val="0"/>
            <c:bubble3D val="0"/>
            <c:spPr>
              <a:solidFill>
                <a:schemeClr val="accent4"/>
              </a:solidFill>
              <a:ln w="31750" cap="rnd">
                <a:noFill/>
                <a:round/>
              </a:ln>
              <a:effectLst/>
            </c:spPr>
            <c:extLst>
              <c:ext xmlns:c16="http://schemas.microsoft.com/office/drawing/2014/chart" uri="{C3380CC4-5D6E-409C-BE32-E72D297353CC}">
                <c16:uniqueId val="{00000003-0955-5444-A9AD-99D610DF8463}"/>
              </c:ext>
            </c:extLst>
          </c:dPt>
          <c:cat>
            <c:numRef>
              <c:f>'Liquidity and Efficiency Ratios'!$S$26:$W$26</c:f>
              <c:numCache>
                <c:formatCode>General</c:formatCode>
                <c:ptCount val="5"/>
                <c:pt idx="0">
                  <c:v>2020</c:v>
                </c:pt>
                <c:pt idx="1">
                  <c:v>2019</c:v>
                </c:pt>
                <c:pt idx="2">
                  <c:v>2018</c:v>
                </c:pt>
                <c:pt idx="3">
                  <c:v>2017</c:v>
                </c:pt>
                <c:pt idx="4">
                  <c:v>2016</c:v>
                </c:pt>
              </c:numCache>
            </c:numRef>
          </c:cat>
          <c:val>
            <c:numRef>
              <c:f>'Liquidity and Efficiency Ratios'!$S$28:$W$28</c:f>
              <c:numCache>
                <c:formatCode>_(* #,##0.00_);_(* \(#,##0.00\);_(* "-"??_);_(@_)</c:formatCode>
                <c:ptCount val="5"/>
                <c:pt idx="0">
                  <c:v>2.46</c:v>
                </c:pt>
                <c:pt idx="1">
                  <c:v>1.51</c:v>
                </c:pt>
                <c:pt idx="2">
                  <c:v>1.48</c:v>
                </c:pt>
                <c:pt idx="3">
                  <c:v>1.54</c:v>
                </c:pt>
                <c:pt idx="4">
                  <c:v>1.22</c:v>
                </c:pt>
              </c:numCache>
            </c:numRef>
          </c:val>
          <c:extLst>
            <c:ext xmlns:c16="http://schemas.microsoft.com/office/drawing/2014/chart" uri="{C3380CC4-5D6E-409C-BE32-E72D297353CC}">
              <c16:uniqueId val="{00000001-0955-5444-A9AD-99D610DF8463}"/>
            </c:ext>
          </c:extLst>
        </c:ser>
        <c:dLbls>
          <c:showLegendKey val="0"/>
          <c:showVal val="0"/>
          <c:showCatName val="0"/>
          <c:showSerName val="0"/>
          <c:showPercent val="0"/>
          <c:showBubbleSize val="0"/>
        </c:dLbls>
        <c:gapWidth val="150"/>
        <c:axId val="1109492639"/>
        <c:axId val="620752623"/>
      </c:barChart>
      <c:catAx>
        <c:axId val="1109492639"/>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P"/>
          </a:p>
        </c:txPr>
        <c:crossAx val="620752623"/>
        <c:crosses val="autoZero"/>
        <c:auto val="1"/>
        <c:lblAlgn val="ctr"/>
        <c:lblOffset val="100"/>
        <c:noMultiLvlLbl val="0"/>
      </c:catAx>
      <c:valAx>
        <c:axId val="620752623"/>
        <c:scaling>
          <c:orientation val="minMax"/>
        </c:scaling>
        <c:delete val="0"/>
        <c:axPos val="b"/>
        <c:majorGridlines>
          <c:spPr>
            <a:ln w="9525" cap="flat" cmpd="sng" algn="ctr">
              <a:solidFill>
                <a:schemeClr val="tx2">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P"/>
          </a:p>
        </c:txPr>
        <c:crossAx val="110949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Inventory</a:t>
            </a:r>
            <a:r>
              <a:rPr lang="en-US" baseline="0"/>
              <a:t> Turonver (Days)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P"/>
        </a:p>
      </c:txPr>
    </c:title>
    <c:autoTitleDeleted val="0"/>
    <c:plotArea>
      <c:layout/>
      <c:barChart>
        <c:barDir val="bar"/>
        <c:grouping val="clustered"/>
        <c:varyColors val="0"/>
        <c:ser>
          <c:idx val="0"/>
          <c:order val="0"/>
          <c:tx>
            <c:strRef>
              <c:f>'Liquidity and Efficiency Ratios'!$R$47</c:f>
              <c:strCache>
                <c:ptCount val="1"/>
                <c:pt idx="0">
                  <c:v>GM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'Liquidity and Efficiency Ratios'!$S$46:$W$46</c:f>
              <c:numCache>
                <c:formatCode>General</c:formatCode>
                <c:ptCount val="5"/>
                <c:pt idx="0">
                  <c:v>2020</c:v>
                </c:pt>
                <c:pt idx="1">
                  <c:v>2019</c:v>
                </c:pt>
                <c:pt idx="2">
                  <c:v>2018</c:v>
                </c:pt>
                <c:pt idx="3">
                  <c:v>2017</c:v>
                </c:pt>
                <c:pt idx="4">
                  <c:v>2016</c:v>
                </c:pt>
              </c:numCache>
            </c:numRef>
          </c:cat>
          <c:val>
            <c:numRef>
              <c:f>'Liquidity and Efficiency Ratios'!$S$47:$W$47</c:f>
              <c:numCache>
                <c:formatCode>_(* #,##0.00_);_(* \(#,##0.00\);_(* "-"??_);_(@_)</c:formatCode>
                <c:ptCount val="5"/>
                <c:pt idx="0">
                  <c:v>34.332065102515323</c:v>
                </c:pt>
                <c:pt idx="1">
                  <c:v>30.789518517016184</c:v>
                </c:pt>
                <c:pt idx="2">
                  <c:v>26.947966966018321</c:v>
                </c:pt>
                <c:pt idx="3">
                  <c:v>30.559725810124295</c:v>
                </c:pt>
                <c:pt idx="4">
                  <c:v>30.960484967691869</c:v>
                </c:pt>
              </c:numCache>
            </c:numRef>
          </c:val>
          <c:extLst>
            <c:ext xmlns:c16="http://schemas.microsoft.com/office/drawing/2014/chart" uri="{C3380CC4-5D6E-409C-BE32-E72D297353CC}">
              <c16:uniqueId val="{00000000-7101-D74B-9580-6535152D2FFD}"/>
            </c:ext>
          </c:extLst>
        </c:ser>
        <c:ser>
          <c:idx val="1"/>
          <c:order val="1"/>
          <c:tx>
            <c:strRef>
              <c:f>'Liquidity and Efficiency Ratios'!$R$48</c:f>
              <c:strCache>
                <c:ptCount val="1"/>
                <c:pt idx="0">
                  <c:v>Industry</c:v>
                </c:pt>
              </c:strCache>
            </c:strRef>
          </c:tx>
          <c:spPr>
            <a:solidFill>
              <a:schemeClr val="accent4"/>
            </a:solidFill>
            <a:ln>
              <a:solidFill>
                <a:schemeClr val="accent4"/>
              </a:solidFill>
            </a:ln>
            <a:effectLst/>
          </c:spPr>
          <c:invertIfNegative val="0"/>
          <c:cat>
            <c:numRef>
              <c:f>'Liquidity and Efficiency Ratios'!$S$46:$W$46</c:f>
              <c:numCache>
                <c:formatCode>General</c:formatCode>
                <c:ptCount val="5"/>
                <c:pt idx="0">
                  <c:v>2020</c:v>
                </c:pt>
                <c:pt idx="1">
                  <c:v>2019</c:v>
                </c:pt>
                <c:pt idx="2">
                  <c:v>2018</c:v>
                </c:pt>
                <c:pt idx="3">
                  <c:v>2017</c:v>
                </c:pt>
                <c:pt idx="4">
                  <c:v>2016</c:v>
                </c:pt>
              </c:numCache>
            </c:numRef>
          </c:cat>
          <c:val>
            <c:numRef>
              <c:f>'Liquidity and Efficiency Ratios'!$S$48:$W$48</c:f>
              <c:numCache>
                <c:formatCode>_(* #,##0.00_);_(* \(#,##0.00\);_(* "-"??_);_(@_)</c:formatCode>
                <c:ptCount val="5"/>
                <c:pt idx="0">
                  <c:v>80</c:v>
                </c:pt>
                <c:pt idx="1">
                  <c:v>64</c:v>
                </c:pt>
                <c:pt idx="2">
                  <c:v>70</c:v>
                </c:pt>
                <c:pt idx="3">
                  <c:v>58</c:v>
                </c:pt>
                <c:pt idx="4">
                  <c:v>64</c:v>
                </c:pt>
              </c:numCache>
            </c:numRef>
          </c:val>
          <c:extLst>
            <c:ext xmlns:c16="http://schemas.microsoft.com/office/drawing/2014/chart" uri="{C3380CC4-5D6E-409C-BE32-E72D297353CC}">
              <c16:uniqueId val="{00000001-7101-D74B-9580-6535152D2FFD}"/>
            </c:ext>
          </c:extLst>
        </c:ser>
        <c:dLbls>
          <c:showLegendKey val="0"/>
          <c:showVal val="0"/>
          <c:showCatName val="0"/>
          <c:showSerName val="0"/>
          <c:showPercent val="0"/>
          <c:showBubbleSize val="0"/>
        </c:dLbls>
        <c:gapWidth val="100"/>
        <c:axId val="1012859647"/>
        <c:axId val="1488339711"/>
      </c:barChart>
      <c:catAx>
        <c:axId val="101285964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P"/>
          </a:p>
        </c:txPr>
        <c:crossAx val="1488339711"/>
        <c:crosses val="autoZero"/>
        <c:auto val="1"/>
        <c:lblAlgn val="ctr"/>
        <c:lblOffset val="100"/>
        <c:noMultiLvlLbl val="0"/>
      </c:catAx>
      <c:valAx>
        <c:axId val="1488339711"/>
        <c:scaling>
          <c:orientation val="minMax"/>
        </c:scaling>
        <c:delete val="0"/>
        <c:axPos val="b"/>
        <c:majorGridlines>
          <c:spPr>
            <a:ln w="9525" cap="flat" cmpd="sng" algn="ctr">
              <a:solidFill>
                <a:schemeClr val="tx2">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P"/>
          </a:p>
        </c:txPr>
        <c:crossAx val="1012859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Debt to Equity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P"/>
        </a:p>
      </c:txPr>
    </c:title>
    <c:autoTitleDeleted val="0"/>
    <c:plotArea>
      <c:layout/>
      <c:barChart>
        <c:barDir val="col"/>
        <c:grouping val="clustered"/>
        <c:varyColors val="0"/>
        <c:ser>
          <c:idx val="0"/>
          <c:order val="0"/>
          <c:tx>
            <c:strRef>
              <c:f>'Gearing Ratios'!$R$6</c:f>
              <c:strCache>
                <c:ptCount val="1"/>
                <c:pt idx="0">
                  <c:v>GM</c:v>
                </c:pt>
              </c:strCache>
            </c:strRef>
          </c:tx>
          <c:spPr>
            <a:solidFill>
              <a:schemeClr val="accent1"/>
            </a:solidFill>
            <a:ln>
              <a:noFill/>
            </a:ln>
            <a:effectLst/>
          </c:spPr>
          <c:invertIfNegative val="0"/>
          <c:cat>
            <c:numRef>
              <c:f>'Gearing Ratios'!$S$5:$W$5</c:f>
              <c:numCache>
                <c:formatCode>General</c:formatCode>
                <c:ptCount val="5"/>
                <c:pt idx="0">
                  <c:v>2020</c:v>
                </c:pt>
                <c:pt idx="1">
                  <c:v>2019</c:v>
                </c:pt>
                <c:pt idx="2">
                  <c:v>2018</c:v>
                </c:pt>
                <c:pt idx="3">
                  <c:v>2017</c:v>
                </c:pt>
                <c:pt idx="4">
                  <c:v>2016</c:v>
                </c:pt>
              </c:numCache>
            </c:numRef>
          </c:cat>
          <c:val>
            <c:numRef>
              <c:f>'Gearing Ratios'!$S$6:$W$6</c:f>
              <c:numCache>
                <c:formatCode>0.00%</c:formatCode>
                <c:ptCount val="5"/>
                <c:pt idx="0">
                  <c:v>3.7344646415846365</c:v>
                </c:pt>
                <c:pt idx="1">
                  <c:v>3.9619644450246971</c:v>
                </c:pt>
                <c:pt idx="2">
                  <c:v>4.31451480936017</c:v>
                </c:pt>
                <c:pt idx="3">
                  <c:v>4.869668508287293</c:v>
                </c:pt>
                <c:pt idx="4">
                  <c:v>4.0298355076574017</c:v>
                </c:pt>
              </c:numCache>
            </c:numRef>
          </c:val>
          <c:extLst>
            <c:ext xmlns:c16="http://schemas.microsoft.com/office/drawing/2014/chart" uri="{C3380CC4-5D6E-409C-BE32-E72D297353CC}">
              <c16:uniqueId val="{00000000-6D37-7C43-A254-B5B4558F4D49}"/>
            </c:ext>
          </c:extLst>
        </c:ser>
        <c:ser>
          <c:idx val="1"/>
          <c:order val="1"/>
          <c:tx>
            <c:strRef>
              <c:f>'Gearing Ratios'!$R$7</c:f>
              <c:strCache>
                <c:ptCount val="1"/>
                <c:pt idx="0">
                  <c:v>Ford</c:v>
                </c:pt>
              </c:strCache>
            </c:strRef>
          </c:tx>
          <c:spPr>
            <a:solidFill>
              <a:schemeClr val="accent2"/>
            </a:solidFill>
            <a:ln>
              <a:noFill/>
            </a:ln>
            <a:effectLst/>
          </c:spPr>
          <c:invertIfNegative val="0"/>
          <c:cat>
            <c:numRef>
              <c:f>'Gearing Ratios'!$S$5:$W$5</c:f>
              <c:numCache>
                <c:formatCode>General</c:formatCode>
                <c:ptCount val="5"/>
                <c:pt idx="0">
                  <c:v>2020</c:v>
                </c:pt>
                <c:pt idx="1">
                  <c:v>2019</c:v>
                </c:pt>
                <c:pt idx="2">
                  <c:v>2018</c:v>
                </c:pt>
                <c:pt idx="3">
                  <c:v>2017</c:v>
                </c:pt>
                <c:pt idx="4">
                  <c:v>2016</c:v>
                </c:pt>
              </c:numCache>
            </c:numRef>
          </c:cat>
          <c:val>
            <c:numRef>
              <c:f>'Gearing Ratios'!$S$7:$W$7</c:f>
              <c:numCache>
                <c:formatCode>0.00%</c:formatCode>
                <c:ptCount val="5"/>
                <c:pt idx="0">
                  <c:v>7.6742072636396088</c:v>
                </c:pt>
                <c:pt idx="1">
                  <c:v>6.7802287089978934</c:v>
                </c:pt>
                <c:pt idx="2">
                  <c:v>6.132847689484513</c:v>
                </c:pt>
                <c:pt idx="3">
                  <c:v>6.2599000168510921</c:v>
                </c:pt>
                <c:pt idx="4">
                  <c:v>7.1526364477335802</c:v>
                </c:pt>
              </c:numCache>
            </c:numRef>
          </c:val>
          <c:extLst>
            <c:ext xmlns:c16="http://schemas.microsoft.com/office/drawing/2014/chart" uri="{C3380CC4-5D6E-409C-BE32-E72D297353CC}">
              <c16:uniqueId val="{00000001-6D37-7C43-A254-B5B4558F4D49}"/>
            </c:ext>
          </c:extLst>
        </c:ser>
        <c:ser>
          <c:idx val="2"/>
          <c:order val="2"/>
          <c:tx>
            <c:strRef>
              <c:f>'Gearing Ratios'!$R$8</c:f>
              <c:strCache>
                <c:ptCount val="1"/>
                <c:pt idx="0">
                  <c:v>Tesla</c:v>
                </c:pt>
              </c:strCache>
            </c:strRef>
          </c:tx>
          <c:spPr>
            <a:solidFill>
              <a:schemeClr val="accent3"/>
            </a:solidFill>
            <a:ln>
              <a:noFill/>
            </a:ln>
            <a:effectLst/>
          </c:spPr>
          <c:invertIfNegative val="0"/>
          <c:cat>
            <c:numRef>
              <c:f>'Gearing Ratios'!$S$5:$W$5</c:f>
              <c:numCache>
                <c:formatCode>General</c:formatCode>
                <c:ptCount val="5"/>
                <c:pt idx="0">
                  <c:v>2020</c:v>
                </c:pt>
                <c:pt idx="1">
                  <c:v>2019</c:v>
                </c:pt>
                <c:pt idx="2">
                  <c:v>2018</c:v>
                </c:pt>
                <c:pt idx="3">
                  <c:v>2017</c:v>
                </c:pt>
                <c:pt idx="4">
                  <c:v>2016</c:v>
                </c:pt>
              </c:numCache>
            </c:numRef>
          </c:cat>
          <c:val>
            <c:numRef>
              <c:f>'Gearing Ratios'!$S$8:$W$8</c:f>
              <c:numCache>
                <c:formatCode>0.00%</c:formatCode>
                <c:ptCount val="5"/>
                <c:pt idx="0">
                  <c:v>1.2599349945828819</c:v>
                </c:pt>
                <c:pt idx="1">
                  <c:v>3.5947502343645374</c:v>
                </c:pt>
                <c:pt idx="2">
                  <c:v>4.1658850095535866</c:v>
                </c:pt>
                <c:pt idx="3">
                  <c:v>4.4716747479946877</c:v>
                </c:pt>
                <c:pt idx="4">
                  <c:v>3.0924014181072668</c:v>
                </c:pt>
              </c:numCache>
            </c:numRef>
          </c:val>
          <c:extLst>
            <c:ext xmlns:c16="http://schemas.microsoft.com/office/drawing/2014/chart" uri="{C3380CC4-5D6E-409C-BE32-E72D297353CC}">
              <c16:uniqueId val="{00000002-6D37-7C43-A254-B5B4558F4D49}"/>
            </c:ext>
          </c:extLst>
        </c:ser>
        <c:ser>
          <c:idx val="3"/>
          <c:order val="3"/>
          <c:tx>
            <c:strRef>
              <c:f>'Gearing Ratios'!$R$9</c:f>
              <c:strCache>
                <c:ptCount val="1"/>
                <c:pt idx="0">
                  <c:v>Industry</c:v>
                </c:pt>
              </c:strCache>
            </c:strRef>
          </c:tx>
          <c:spPr>
            <a:solidFill>
              <a:schemeClr val="accent4"/>
            </a:solidFill>
            <a:ln>
              <a:noFill/>
            </a:ln>
            <a:effectLst/>
          </c:spPr>
          <c:invertIfNegative val="0"/>
          <c:cat>
            <c:numRef>
              <c:f>'Gearing Ratios'!$S$5:$W$5</c:f>
              <c:numCache>
                <c:formatCode>General</c:formatCode>
                <c:ptCount val="5"/>
                <c:pt idx="0">
                  <c:v>2020</c:v>
                </c:pt>
                <c:pt idx="1">
                  <c:v>2019</c:v>
                </c:pt>
                <c:pt idx="2">
                  <c:v>2018</c:v>
                </c:pt>
                <c:pt idx="3">
                  <c:v>2017</c:v>
                </c:pt>
                <c:pt idx="4">
                  <c:v>2016</c:v>
                </c:pt>
              </c:numCache>
            </c:numRef>
          </c:cat>
          <c:val>
            <c:numRef>
              <c:f>'Gearing Ratios'!$S$9:$W$9</c:f>
              <c:numCache>
                <c:formatCode>0.00%</c:formatCode>
                <c:ptCount val="5"/>
                <c:pt idx="0">
                  <c:v>0.6</c:v>
                </c:pt>
                <c:pt idx="1">
                  <c:v>1.62</c:v>
                </c:pt>
                <c:pt idx="2">
                  <c:v>0.93</c:v>
                </c:pt>
                <c:pt idx="3">
                  <c:v>1.17</c:v>
                </c:pt>
                <c:pt idx="4">
                  <c:v>0.89</c:v>
                </c:pt>
              </c:numCache>
            </c:numRef>
          </c:val>
          <c:extLst>
            <c:ext xmlns:c16="http://schemas.microsoft.com/office/drawing/2014/chart" uri="{C3380CC4-5D6E-409C-BE32-E72D297353CC}">
              <c16:uniqueId val="{00000008-6D37-7C43-A254-B5B4558F4D49}"/>
            </c:ext>
          </c:extLst>
        </c:ser>
        <c:dLbls>
          <c:showLegendKey val="0"/>
          <c:showVal val="0"/>
          <c:showCatName val="0"/>
          <c:showSerName val="0"/>
          <c:showPercent val="0"/>
          <c:showBubbleSize val="0"/>
        </c:dLbls>
        <c:gapWidth val="219"/>
        <c:overlap val="-27"/>
        <c:axId val="1110272799"/>
        <c:axId val="601596687"/>
      </c:barChart>
      <c:catAx>
        <c:axId val="111027279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601596687"/>
        <c:crosses val="autoZero"/>
        <c:auto val="1"/>
        <c:lblAlgn val="ctr"/>
        <c:lblOffset val="100"/>
        <c:noMultiLvlLbl val="0"/>
      </c:catAx>
      <c:valAx>
        <c:axId val="601596687"/>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111027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P"/>
        </a:p>
      </c:txPr>
    </c:title>
    <c:autoTitleDeleted val="0"/>
    <c:plotArea>
      <c:layout/>
      <c:lineChart>
        <c:grouping val="standard"/>
        <c:varyColors val="0"/>
        <c:ser>
          <c:idx val="0"/>
          <c:order val="0"/>
          <c:tx>
            <c:strRef>
              <c:f>'Gearing Ratios'!$R$27</c:f>
              <c:strCache>
                <c:ptCount val="1"/>
                <c:pt idx="0">
                  <c:v>Financial leverage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numRef>
              <c:f>'Gearing Ratios'!$S$44:$W$44</c:f>
              <c:numCache>
                <c:formatCode>General</c:formatCode>
                <c:ptCount val="5"/>
                <c:pt idx="0">
                  <c:v>2020</c:v>
                </c:pt>
                <c:pt idx="1">
                  <c:v>2019</c:v>
                </c:pt>
                <c:pt idx="2">
                  <c:v>2018</c:v>
                </c:pt>
                <c:pt idx="3">
                  <c:v>2017</c:v>
                </c:pt>
                <c:pt idx="4">
                  <c:v>2016</c:v>
                </c:pt>
              </c:numCache>
            </c:numRef>
          </c:cat>
          <c:val>
            <c:numRef>
              <c:f>'Gearing Ratios'!$S$27:$W$27</c:f>
              <c:numCache>
                <c:formatCode>General</c:formatCode>
                <c:ptCount val="5"/>
                <c:pt idx="0">
                  <c:v>2.2163778005918231</c:v>
                </c:pt>
                <c:pt idx="1">
                  <c:v>2.2534760754618448</c:v>
                </c:pt>
                <c:pt idx="2">
                  <c:v>2.4534446080837835</c:v>
                </c:pt>
                <c:pt idx="3">
                  <c:v>2.6027348066298344</c:v>
                </c:pt>
                <c:pt idx="4">
                  <c:v>1.704435621100397</c:v>
                </c:pt>
              </c:numCache>
            </c:numRef>
          </c:val>
          <c:smooth val="0"/>
          <c:extLst>
            <c:ext xmlns:c16="http://schemas.microsoft.com/office/drawing/2014/chart" uri="{C3380CC4-5D6E-409C-BE32-E72D297353CC}">
              <c16:uniqueId val="{00000000-05CD-0947-B44F-705451EF5A93}"/>
            </c:ext>
          </c:extLst>
        </c:ser>
        <c:dLbls>
          <c:dLblPos val="ctr"/>
          <c:showLegendKey val="0"/>
          <c:showVal val="1"/>
          <c:showCatName val="0"/>
          <c:showSerName val="0"/>
          <c:showPercent val="0"/>
          <c:showBubbleSize val="0"/>
        </c:dLbls>
        <c:marker val="1"/>
        <c:smooth val="0"/>
        <c:axId val="413696272"/>
        <c:axId val="2133696207"/>
      </c:lineChart>
      <c:catAx>
        <c:axId val="413696272"/>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133696207"/>
        <c:crosses val="autoZero"/>
        <c:auto val="1"/>
        <c:lblAlgn val="ctr"/>
        <c:lblOffset val="100"/>
        <c:noMultiLvlLbl val="0"/>
      </c:catAx>
      <c:valAx>
        <c:axId val="2133696207"/>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41369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Interest Cover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P"/>
        </a:p>
      </c:txPr>
    </c:title>
    <c:autoTitleDeleted val="0"/>
    <c:plotArea>
      <c:layout/>
      <c:lineChart>
        <c:grouping val="standard"/>
        <c:varyColors val="0"/>
        <c:ser>
          <c:idx val="0"/>
          <c:order val="0"/>
          <c:tx>
            <c:strRef>
              <c:f>'Gearing Ratios'!$R$45</c:f>
              <c:strCache>
                <c:ptCount val="1"/>
                <c:pt idx="0">
                  <c:v>GM</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numRef>
              <c:f>'Gearing Ratios'!$S$44:$W$44</c:f>
              <c:numCache>
                <c:formatCode>General</c:formatCode>
                <c:ptCount val="5"/>
                <c:pt idx="0">
                  <c:v>2020</c:v>
                </c:pt>
                <c:pt idx="1">
                  <c:v>2019</c:v>
                </c:pt>
                <c:pt idx="2">
                  <c:v>2018</c:v>
                </c:pt>
                <c:pt idx="3">
                  <c:v>2017</c:v>
                </c:pt>
                <c:pt idx="4">
                  <c:v>2016</c:v>
                </c:pt>
              </c:numCache>
            </c:numRef>
          </c:cat>
          <c:val>
            <c:numRef>
              <c:f>'Gearing Ratios'!$S$45:$W$45</c:f>
              <c:numCache>
                <c:formatCode>General</c:formatCode>
                <c:ptCount val="5"/>
                <c:pt idx="0">
                  <c:v>6.0418943533697629</c:v>
                </c:pt>
                <c:pt idx="1">
                  <c:v>7.0089514066496168</c:v>
                </c:pt>
                <c:pt idx="2">
                  <c:v>6.7862595419847329</c:v>
                </c:pt>
                <c:pt idx="3">
                  <c:v>15.062608695652173</c:v>
                </c:pt>
                <c:pt idx="4">
                  <c:v>15.428063943161634</c:v>
                </c:pt>
              </c:numCache>
            </c:numRef>
          </c:val>
          <c:smooth val="0"/>
          <c:extLst>
            <c:ext xmlns:c16="http://schemas.microsoft.com/office/drawing/2014/chart" uri="{C3380CC4-5D6E-409C-BE32-E72D297353CC}">
              <c16:uniqueId val="{00000000-743B-2348-B7E1-183F58B30EDB}"/>
            </c:ext>
          </c:extLst>
        </c:ser>
        <c:ser>
          <c:idx val="1"/>
          <c:order val="1"/>
          <c:tx>
            <c:strRef>
              <c:f>'Gearing Ratios'!$R$46</c:f>
              <c:strCache>
                <c:ptCount val="1"/>
                <c:pt idx="0">
                  <c:v>Industry</c:v>
                </c:pt>
              </c:strCache>
            </c:strRef>
          </c:tx>
          <c:spPr>
            <a:ln w="28575" cap="rnd">
              <a:solidFill>
                <a:schemeClr val="accent4"/>
              </a:solidFill>
              <a:round/>
            </a:ln>
            <a:effectLst/>
          </c:spPr>
          <c:marker>
            <c:symbol val="circle"/>
            <c:size val="5"/>
            <c:spPr>
              <a:solidFill>
                <a:schemeClr val="accent2"/>
              </a:solidFill>
              <a:ln w="9525">
                <a:solidFill>
                  <a:schemeClr val="accent2"/>
                </a:solidFill>
              </a:ln>
              <a:effectLst/>
            </c:spPr>
          </c:marker>
          <c:dLbls>
            <c:delete val="1"/>
          </c:dLbls>
          <c:cat>
            <c:numRef>
              <c:f>'Gearing Ratios'!$S$44:$W$44</c:f>
              <c:numCache>
                <c:formatCode>General</c:formatCode>
                <c:ptCount val="5"/>
                <c:pt idx="0">
                  <c:v>2020</c:v>
                </c:pt>
                <c:pt idx="1">
                  <c:v>2019</c:v>
                </c:pt>
                <c:pt idx="2">
                  <c:v>2018</c:v>
                </c:pt>
                <c:pt idx="3">
                  <c:v>2017</c:v>
                </c:pt>
                <c:pt idx="4">
                  <c:v>2016</c:v>
                </c:pt>
              </c:numCache>
            </c:numRef>
          </c:cat>
          <c:val>
            <c:numRef>
              <c:f>'Gearing Ratios'!$S$46:$W$46</c:f>
              <c:numCache>
                <c:formatCode>General</c:formatCode>
                <c:ptCount val="5"/>
                <c:pt idx="0">
                  <c:v>1.48</c:v>
                </c:pt>
                <c:pt idx="1">
                  <c:v>2.68</c:v>
                </c:pt>
                <c:pt idx="2">
                  <c:v>3.2</c:v>
                </c:pt>
                <c:pt idx="3">
                  <c:v>6.07</c:v>
                </c:pt>
                <c:pt idx="4">
                  <c:v>3.13</c:v>
                </c:pt>
              </c:numCache>
            </c:numRef>
          </c:val>
          <c:smooth val="0"/>
          <c:extLst>
            <c:ext xmlns:c16="http://schemas.microsoft.com/office/drawing/2014/chart" uri="{C3380CC4-5D6E-409C-BE32-E72D297353CC}">
              <c16:uniqueId val="{00000001-743B-2348-B7E1-183F58B30EDB}"/>
            </c:ext>
          </c:extLst>
        </c:ser>
        <c:dLbls>
          <c:dLblPos val="ctr"/>
          <c:showLegendKey val="0"/>
          <c:showVal val="1"/>
          <c:showCatName val="0"/>
          <c:showSerName val="0"/>
          <c:showPercent val="0"/>
          <c:showBubbleSize val="0"/>
        </c:dLbls>
        <c:marker val="1"/>
        <c:smooth val="0"/>
        <c:axId val="413289296"/>
        <c:axId val="2136584255"/>
      </c:lineChart>
      <c:catAx>
        <c:axId val="413289296"/>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136584255"/>
        <c:crosses val="autoZero"/>
        <c:auto val="1"/>
        <c:lblAlgn val="ctr"/>
        <c:lblOffset val="100"/>
        <c:noMultiLvlLbl val="0"/>
      </c:catAx>
      <c:valAx>
        <c:axId val="213658425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41328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Return on Equity</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NP"/>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'Profitability Ratios'!$R$15</c:f>
              <c:strCache>
                <c:ptCount val="1"/>
                <c:pt idx="0">
                  <c:v>GM</c:v>
                </c:pt>
              </c:strCache>
            </c:strRef>
          </c:tx>
          <c:spPr>
            <a:solidFill>
              <a:schemeClr val="accent1"/>
            </a:solidFill>
            <a:ln>
              <a:noFill/>
            </a:ln>
            <a:effectLst/>
            <a:sp3d/>
          </c:spPr>
          <c:invertIfNegative val="0"/>
          <c:dLbls>
            <c:delete val="1"/>
          </c:dLbls>
          <c:cat>
            <c:numRef>
              <c:f>'Profitability Ratios'!$S$14:$W$14</c:f>
              <c:numCache>
                <c:formatCode>General</c:formatCode>
                <c:ptCount val="5"/>
                <c:pt idx="0">
                  <c:v>2020</c:v>
                </c:pt>
                <c:pt idx="1">
                  <c:v>2019</c:v>
                </c:pt>
                <c:pt idx="2">
                  <c:v>2018</c:v>
                </c:pt>
                <c:pt idx="3">
                  <c:v>2017</c:v>
                </c:pt>
                <c:pt idx="4">
                  <c:v>2016</c:v>
                </c:pt>
              </c:numCache>
            </c:numRef>
          </c:cat>
          <c:val>
            <c:numRef>
              <c:f>'Profitability Ratios'!$S$15:$W$15</c:f>
              <c:numCache>
                <c:formatCode>0.00%</c:formatCode>
                <c:ptCount val="5"/>
                <c:pt idx="0">
                  <c:v>0.12575236024719688</c:v>
                </c:pt>
                <c:pt idx="1">
                  <c:v>0.14319907739843768</c:v>
                </c:pt>
                <c:pt idx="2">
                  <c:v>0.18505271524417327</c:v>
                </c:pt>
                <c:pt idx="3">
                  <c:v>-0.10718232044198896</c:v>
                </c:pt>
                <c:pt idx="4">
                  <c:v>0.213885422575156</c:v>
                </c:pt>
              </c:numCache>
            </c:numRef>
          </c:val>
          <c:extLst>
            <c:ext xmlns:c16="http://schemas.microsoft.com/office/drawing/2014/chart" uri="{C3380CC4-5D6E-409C-BE32-E72D297353CC}">
              <c16:uniqueId val="{00000000-E1DE-B741-8770-09B91557DFBE}"/>
            </c:ext>
          </c:extLst>
        </c:ser>
        <c:ser>
          <c:idx val="1"/>
          <c:order val="1"/>
          <c:tx>
            <c:strRef>
              <c:f>'Investment Ratios'!$R$7</c:f>
              <c:strCache>
                <c:ptCount val="1"/>
                <c:pt idx="0">
                  <c:v>Industry</c:v>
                </c:pt>
              </c:strCache>
            </c:strRef>
          </c:tx>
          <c:spPr>
            <a:solidFill>
              <a:schemeClr val="accent4"/>
            </a:solidFill>
            <a:ln>
              <a:noFill/>
            </a:ln>
            <a:effectLst/>
            <a:sp3d/>
          </c:spPr>
          <c:invertIfNegative val="0"/>
          <c:dLbls>
            <c:delete val="1"/>
          </c:dLbls>
          <c:cat>
            <c:numRef>
              <c:f>'Profitability Ratios'!$S$14:$W$14</c:f>
              <c:numCache>
                <c:formatCode>General</c:formatCode>
                <c:ptCount val="5"/>
                <c:pt idx="0">
                  <c:v>2020</c:v>
                </c:pt>
                <c:pt idx="1">
                  <c:v>2019</c:v>
                </c:pt>
                <c:pt idx="2">
                  <c:v>2018</c:v>
                </c:pt>
                <c:pt idx="3">
                  <c:v>2017</c:v>
                </c:pt>
                <c:pt idx="4">
                  <c:v>2016</c:v>
                </c:pt>
              </c:numCache>
            </c:numRef>
          </c:cat>
          <c:val>
            <c:numRef>
              <c:f>'Investment Ratios'!$S$7:$W$7</c:f>
              <c:numCache>
                <c:formatCode>0.00%</c:formatCode>
                <c:ptCount val="5"/>
                <c:pt idx="0">
                  <c:v>4.4900000000000002E-2</c:v>
                </c:pt>
                <c:pt idx="1">
                  <c:v>0.12559999999999999</c:v>
                </c:pt>
                <c:pt idx="2">
                  <c:v>7.3200000000000001E-2</c:v>
                </c:pt>
                <c:pt idx="3">
                  <c:v>8.6400000000000005E-2</c:v>
                </c:pt>
                <c:pt idx="4">
                  <c:v>0.31509999999999999</c:v>
                </c:pt>
              </c:numCache>
            </c:numRef>
          </c:val>
          <c:extLst>
            <c:ext xmlns:c16="http://schemas.microsoft.com/office/drawing/2014/chart" uri="{C3380CC4-5D6E-409C-BE32-E72D297353CC}">
              <c16:uniqueId val="{00000001-E1DE-B741-8770-09B91557DFBE}"/>
            </c:ext>
          </c:extLst>
        </c:ser>
        <c:dLbls>
          <c:showLegendKey val="0"/>
          <c:showVal val="1"/>
          <c:showCatName val="0"/>
          <c:showSerName val="0"/>
          <c:showPercent val="0"/>
          <c:showBubbleSize val="0"/>
        </c:dLbls>
        <c:gapWidth val="150"/>
        <c:shape val="box"/>
        <c:axId val="1065911183"/>
        <c:axId val="1073534111"/>
        <c:axId val="0"/>
      </c:bar3DChart>
      <c:catAx>
        <c:axId val="1065911183"/>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NP"/>
          </a:p>
        </c:txPr>
        <c:crossAx val="1073534111"/>
        <c:crosses val="autoZero"/>
        <c:auto val="1"/>
        <c:lblAlgn val="ctr"/>
        <c:lblOffset val="900"/>
        <c:noMultiLvlLbl val="0"/>
      </c:catAx>
      <c:valAx>
        <c:axId val="1073534111"/>
        <c:scaling>
          <c:orientation val="minMax"/>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1065911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P"/>
        </a:p>
      </c:txPr>
    </c:title>
    <c:autoTitleDeleted val="0"/>
    <c:plotArea>
      <c:layout/>
      <c:lineChart>
        <c:grouping val="standard"/>
        <c:varyColors val="0"/>
        <c:ser>
          <c:idx val="0"/>
          <c:order val="0"/>
          <c:tx>
            <c:strRef>
              <c:f>'Investment Ratios'!$S$25</c:f>
              <c:strCache>
                <c:ptCount val="1"/>
                <c:pt idx="0">
                  <c:v>P/S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'Investment Ratios'!$T$24:$Y$24</c:f>
              <c:numCache>
                <c:formatCode>General</c:formatCode>
                <c:ptCount val="6"/>
                <c:pt idx="0">
                  <c:v>2020</c:v>
                </c:pt>
                <c:pt idx="1">
                  <c:v>2019</c:v>
                </c:pt>
                <c:pt idx="2">
                  <c:v>2018</c:v>
                </c:pt>
                <c:pt idx="3">
                  <c:v>2017</c:v>
                </c:pt>
                <c:pt idx="4">
                  <c:v>2016</c:v>
                </c:pt>
              </c:numCache>
            </c:numRef>
          </c:cat>
          <c:val>
            <c:numRef>
              <c:f>'Investment Ratios'!$T$25:$Y$25</c:f>
              <c:numCache>
                <c:formatCode>General</c:formatCode>
                <c:ptCount val="6"/>
                <c:pt idx="0">
                  <c:v>0.49022231293627794</c:v>
                </c:pt>
                <c:pt idx="1">
                  <c:v>0.38376968310295329</c:v>
                </c:pt>
                <c:pt idx="2">
                  <c:v>0.3261994301219322</c:v>
                </c:pt>
                <c:pt idx="3">
                  <c:v>0.42006951122345249</c:v>
                </c:pt>
                <c:pt idx="4">
                  <c:v>0.36665326040326046</c:v>
                </c:pt>
              </c:numCache>
            </c:numRef>
          </c:val>
          <c:smooth val="0"/>
          <c:extLst>
            <c:ext xmlns:c16="http://schemas.microsoft.com/office/drawing/2014/chart" uri="{C3380CC4-5D6E-409C-BE32-E72D297353CC}">
              <c16:uniqueId val="{00000000-99EB-3747-A330-AD15423F8DCB}"/>
            </c:ext>
          </c:extLst>
        </c:ser>
        <c:dLbls>
          <c:showLegendKey val="0"/>
          <c:showVal val="0"/>
          <c:showCatName val="0"/>
          <c:showSerName val="0"/>
          <c:showPercent val="0"/>
          <c:showBubbleSize val="0"/>
        </c:dLbls>
        <c:marker val="1"/>
        <c:smooth val="0"/>
        <c:axId val="2133420223"/>
        <c:axId val="2131613199"/>
      </c:lineChart>
      <c:catAx>
        <c:axId val="213342022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131613199"/>
        <c:crosses val="autoZero"/>
        <c:auto val="1"/>
        <c:lblAlgn val="ctr"/>
        <c:lblOffset val="100"/>
        <c:noMultiLvlLbl val="0"/>
      </c:catAx>
      <c:valAx>
        <c:axId val="2131613199"/>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133420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P"/>
        </a:p>
      </c:txPr>
    </c:title>
    <c:autoTitleDeleted val="0"/>
    <c:plotArea>
      <c:layout/>
      <c:lineChart>
        <c:grouping val="standard"/>
        <c:varyColors val="0"/>
        <c:ser>
          <c:idx val="0"/>
          <c:order val="0"/>
          <c:tx>
            <c:strRef>
              <c:f>'Investment Ratios'!$S$44</c:f>
              <c:strCache>
                <c:ptCount val="1"/>
                <c:pt idx="0">
                  <c:v>Dividend Yield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'Investment Ratios'!$T$43:$X$43</c:f>
              <c:numCache>
                <c:formatCode>General</c:formatCode>
                <c:ptCount val="5"/>
                <c:pt idx="0">
                  <c:v>2020</c:v>
                </c:pt>
                <c:pt idx="1">
                  <c:v>2019</c:v>
                </c:pt>
                <c:pt idx="2">
                  <c:v>2018</c:v>
                </c:pt>
                <c:pt idx="3">
                  <c:v>2017</c:v>
                </c:pt>
                <c:pt idx="4">
                  <c:v>2016</c:v>
                </c:pt>
              </c:numCache>
            </c:numRef>
          </c:cat>
          <c:val>
            <c:numRef>
              <c:f>'Investment Ratios'!$T$44:$X$44</c:f>
              <c:numCache>
                <c:formatCode>0.00%</c:formatCode>
                <c:ptCount val="5"/>
                <c:pt idx="0">
                  <c:v>1.1141666033806712E-2</c:v>
                </c:pt>
                <c:pt idx="1">
                  <c:v>4.461963187854346E-2</c:v>
                </c:pt>
                <c:pt idx="2">
                  <c:v>4.6740175077604945E-2</c:v>
                </c:pt>
                <c:pt idx="3">
                  <c:v>3.651253460760389E-2</c:v>
                </c:pt>
                <c:pt idx="4">
                  <c:v>4.3291626141706945E-2</c:v>
                </c:pt>
              </c:numCache>
            </c:numRef>
          </c:val>
          <c:smooth val="0"/>
          <c:extLst>
            <c:ext xmlns:c16="http://schemas.microsoft.com/office/drawing/2014/chart" uri="{C3380CC4-5D6E-409C-BE32-E72D297353CC}">
              <c16:uniqueId val="{00000000-15CB-AF49-BA84-DCB8AF147C1B}"/>
            </c:ext>
          </c:extLst>
        </c:ser>
        <c:dLbls>
          <c:showLegendKey val="0"/>
          <c:showVal val="0"/>
          <c:showCatName val="0"/>
          <c:showSerName val="0"/>
          <c:showPercent val="0"/>
          <c:showBubbleSize val="0"/>
        </c:dLbls>
        <c:marker val="1"/>
        <c:smooth val="0"/>
        <c:axId val="248448143"/>
        <c:axId val="221798399"/>
      </c:lineChart>
      <c:catAx>
        <c:axId val="24844814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21798399"/>
        <c:crosses val="autoZero"/>
        <c:auto val="1"/>
        <c:lblAlgn val="ctr"/>
        <c:lblOffset val="100"/>
        <c:noMultiLvlLbl val="0"/>
      </c:catAx>
      <c:valAx>
        <c:axId val="221798399"/>
        <c:scaling>
          <c:orientation val="minMax"/>
        </c:scaling>
        <c:delete val="0"/>
        <c:axPos val="r"/>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24844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P"/>
        </a:p>
      </c:txPr>
    </c:title>
    <c:autoTitleDeleted val="0"/>
    <c:plotArea>
      <c:layout/>
      <c:lineChart>
        <c:grouping val="standard"/>
        <c:varyColors val="0"/>
        <c:ser>
          <c:idx val="0"/>
          <c:order val="0"/>
          <c:tx>
            <c:strRef>
              <c:f>'Z Score'!$A$22</c:f>
              <c:strCache>
                <c:ptCount val="1"/>
                <c:pt idx="0">
                  <c:v>Z-Score</c:v>
                </c:pt>
              </c:strCache>
            </c:strRef>
          </c:tx>
          <c:spPr>
            <a:ln w="28575" cap="rnd">
              <a:solidFill>
                <a:schemeClr val="accent1"/>
              </a:solidFill>
              <a:round/>
            </a:ln>
            <a:effectLst/>
          </c:spPr>
          <c:marker>
            <c:symbol val="none"/>
          </c:marker>
          <c:cat>
            <c:multiLvlStrRef>
              <c:f>'Z Score'!$B$20:$F$21</c:f>
              <c:multiLvlStrCache>
                <c:ptCount val="5"/>
                <c:lvl>
                  <c:pt idx="0">
                    <c:v>2016</c:v>
                  </c:pt>
                  <c:pt idx="1">
                    <c:v>2017</c:v>
                  </c:pt>
                  <c:pt idx="2">
                    <c:v>2018</c:v>
                  </c:pt>
                  <c:pt idx="3">
                    <c:v>2019</c:v>
                  </c:pt>
                  <c:pt idx="4">
                    <c:v>2020</c:v>
                  </c:pt>
                </c:lvl>
                <c:lvl>
                  <c:pt idx="0">
                    <c:v>GM</c:v>
                  </c:pt>
                </c:lvl>
              </c:multiLvlStrCache>
            </c:multiLvlStrRef>
          </c:cat>
          <c:val>
            <c:numRef>
              <c:f>'Z Score'!$B$22:$F$22</c:f>
              <c:numCache>
                <c:formatCode>_(* #,##0.00_);_(* \(#,##0.00\);_(* "-"??_);_(@_)</c:formatCode>
                <c:ptCount val="5"/>
                <c:pt idx="0">
                  <c:v>0.96849301193053594</c:v>
                </c:pt>
                <c:pt idx="1">
                  <c:v>0.93947779940760245</c:v>
                </c:pt>
                <c:pt idx="2">
                  <c:v>0.86489298061666786</c:v>
                </c:pt>
                <c:pt idx="3">
                  <c:v>0.84989954482853292</c:v>
                </c:pt>
                <c:pt idx="4">
                  <c:v>0.83804021142650975</c:v>
                </c:pt>
              </c:numCache>
            </c:numRef>
          </c:val>
          <c:smooth val="0"/>
          <c:extLst>
            <c:ext xmlns:c16="http://schemas.microsoft.com/office/drawing/2014/chart" uri="{C3380CC4-5D6E-409C-BE32-E72D297353CC}">
              <c16:uniqueId val="{00000000-7B26-E746-8445-2F9A949107B3}"/>
            </c:ext>
          </c:extLst>
        </c:ser>
        <c:dLbls>
          <c:showLegendKey val="0"/>
          <c:showVal val="0"/>
          <c:showCatName val="0"/>
          <c:showSerName val="0"/>
          <c:showPercent val="0"/>
          <c:showBubbleSize val="0"/>
        </c:dLbls>
        <c:smooth val="0"/>
        <c:axId val="1399609439"/>
        <c:axId val="1472475519"/>
      </c:lineChart>
      <c:catAx>
        <c:axId val="139960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1472475519"/>
        <c:crosses val="autoZero"/>
        <c:auto val="1"/>
        <c:lblAlgn val="ctr"/>
        <c:lblOffset val="100"/>
        <c:noMultiLvlLbl val="0"/>
      </c:catAx>
      <c:valAx>
        <c:axId val="1472475519"/>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139960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17</xdr:col>
      <xdr:colOff>127000</xdr:colOff>
      <xdr:row>21</xdr:row>
      <xdr:rowOff>15240</xdr:rowOff>
    </xdr:from>
    <xdr:to>
      <xdr:col>22</xdr:col>
      <xdr:colOff>584200</xdr:colOff>
      <xdr:row>34</xdr:row>
      <xdr:rowOff>116840</xdr:rowOff>
    </xdr:to>
    <xdr:graphicFrame macro="">
      <xdr:nvGraphicFramePr>
        <xdr:cNvPr id="5" name="Chart 4">
          <a:extLst>
            <a:ext uri="{FF2B5EF4-FFF2-40B4-BE49-F238E27FC236}">
              <a16:creationId xmlns:a16="http://schemas.microsoft.com/office/drawing/2014/main" id="{33FEBD0F-CEC8-4145-8005-52F9C8B64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880533</xdr:colOff>
      <xdr:row>40</xdr:row>
      <xdr:rowOff>152400</xdr:rowOff>
    </xdr:from>
    <xdr:to>
      <xdr:col>22</xdr:col>
      <xdr:colOff>609599</xdr:colOff>
      <xdr:row>54</xdr:row>
      <xdr:rowOff>50800</xdr:rowOff>
    </xdr:to>
    <xdr:graphicFrame macro="">
      <xdr:nvGraphicFramePr>
        <xdr:cNvPr id="2" name="Chart 1">
          <a:extLst>
            <a:ext uri="{FF2B5EF4-FFF2-40B4-BE49-F238E27FC236}">
              <a16:creationId xmlns:a16="http://schemas.microsoft.com/office/drawing/2014/main" id="{0E9C537F-DE28-4641-9E29-F350EF1596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338044</xdr:colOff>
      <xdr:row>9</xdr:row>
      <xdr:rowOff>131855</xdr:rowOff>
    </xdr:from>
    <xdr:to>
      <xdr:col>22</xdr:col>
      <xdr:colOff>801221</xdr:colOff>
      <xdr:row>22</xdr:row>
      <xdr:rowOff>204320</xdr:rowOff>
    </xdr:to>
    <xdr:graphicFrame macro="">
      <xdr:nvGraphicFramePr>
        <xdr:cNvPr id="2" name="Chart 1">
          <a:extLst>
            <a:ext uri="{FF2B5EF4-FFF2-40B4-BE49-F238E27FC236}">
              <a16:creationId xmlns:a16="http://schemas.microsoft.com/office/drawing/2014/main" id="{653AF4F4-FDA4-B64D-BDAF-0FF76F12A6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266700</xdr:colOff>
      <xdr:row>29</xdr:row>
      <xdr:rowOff>133350</xdr:rowOff>
    </xdr:from>
    <xdr:to>
      <xdr:col>22</xdr:col>
      <xdr:colOff>711200</xdr:colOff>
      <xdr:row>43</xdr:row>
      <xdr:rowOff>31750</xdr:rowOff>
    </xdr:to>
    <xdr:graphicFrame macro="">
      <xdr:nvGraphicFramePr>
        <xdr:cNvPr id="4" name="Chart 3">
          <a:extLst>
            <a:ext uri="{FF2B5EF4-FFF2-40B4-BE49-F238E27FC236}">
              <a16:creationId xmlns:a16="http://schemas.microsoft.com/office/drawing/2014/main" id="{DD078344-9A37-9F44-B8AE-034C12338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342900</xdr:colOff>
      <xdr:row>48</xdr:row>
      <xdr:rowOff>158750</xdr:rowOff>
    </xdr:from>
    <xdr:to>
      <xdr:col>22</xdr:col>
      <xdr:colOff>787400</xdr:colOff>
      <xdr:row>62</xdr:row>
      <xdr:rowOff>57150</xdr:rowOff>
    </xdr:to>
    <xdr:graphicFrame macro="">
      <xdr:nvGraphicFramePr>
        <xdr:cNvPr id="5" name="Chart 4">
          <a:extLst>
            <a:ext uri="{FF2B5EF4-FFF2-40B4-BE49-F238E27FC236}">
              <a16:creationId xmlns:a16="http://schemas.microsoft.com/office/drawing/2014/main" id="{AC00A9BA-0846-2743-95C7-2F2432701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114300</xdr:colOff>
      <xdr:row>9</xdr:row>
      <xdr:rowOff>107950</xdr:rowOff>
    </xdr:from>
    <xdr:to>
      <xdr:col>22</xdr:col>
      <xdr:colOff>558800</xdr:colOff>
      <xdr:row>24</xdr:row>
      <xdr:rowOff>6350</xdr:rowOff>
    </xdr:to>
    <xdr:graphicFrame macro="">
      <xdr:nvGraphicFramePr>
        <xdr:cNvPr id="4" name="Chart 3">
          <a:extLst>
            <a:ext uri="{FF2B5EF4-FFF2-40B4-BE49-F238E27FC236}">
              <a16:creationId xmlns:a16="http://schemas.microsoft.com/office/drawing/2014/main" id="{E9230A83-C8A1-1F46-83FC-51E31C813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363682</xdr:colOff>
      <xdr:row>28</xdr:row>
      <xdr:rowOff>111991</xdr:rowOff>
    </xdr:from>
    <xdr:to>
      <xdr:col>22</xdr:col>
      <xdr:colOff>375228</xdr:colOff>
      <xdr:row>41</xdr:row>
      <xdr:rowOff>153555</xdr:rowOff>
    </xdr:to>
    <xdr:graphicFrame macro="">
      <xdr:nvGraphicFramePr>
        <xdr:cNvPr id="3" name="Chart 2">
          <a:extLst>
            <a:ext uri="{FF2B5EF4-FFF2-40B4-BE49-F238E27FC236}">
              <a16:creationId xmlns:a16="http://schemas.microsoft.com/office/drawing/2014/main" id="{6503CB97-9D31-1B4D-A889-C9317132D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536864</xdr:colOff>
      <xdr:row>46</xdr:row>
      <xdr:rowOff>181264</xdr:rowOff>
    </xdr:from>
    <xdr:to>
      <xdr:col>22</xdr:col>
      <xdr:colOff>548410</xdr:colOff>
      <xdr:row>60</xdr:row>
      <xdr:rowOff>15009</xdr:rowOff>
    </xdr:to>
    <xdr:graphicFrame macro="">
      <xdr:nvGraphicFramePr>
        <xdr:cNvPr id="6" name="Chart 5">
          <a:extLst>
            <a:ext uri="{FF2B5EF4-FFF2-40B4-BE49-F238E27FC236}">
              <a16:creationId xmlns:a16="http://schemas.microsoft.com/office/drawing/2014/main" id="{BE82596B-EF96-604B-A29B-6A314C292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1303867</xdr:colOff>
      <xdr:row>8</xdr:row>
      <xdr:rowOff>16933</xdr:rowOff>
    </xdr:from>
    <xdr:to>
      <xdr:col>23</xdr:col>
      <xdr:colOff>152400</xdr:colOff>
      <xdr:row>21</xdr:row>
      <xdr:rowOff>118533</xdr:rowOff>
    </xdr:to>
    <xdr:graphicFrame macro="">
      <xdr:nvGraphicFramePr>
        <xdr:cNvPr id="2" name="Chart 1">
          <a:extLst>
            <a:ext uri="{FF2B5EF4-FFF2-40B4-BE49-F238E27FC236}">
              <a16:creationId xmlns:a16="http://schemas.microsoft.com/office/drawing/2014/main" id="{247CD805-F701-4A46-863B-C3310101B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14110</xdr:colOff>
      <xdr:row>25</xdr:row>
      <xdr:rowOff>172155</xdr:rowOff>
    </xdr:from>
    <xdr:to>
      <xdr:col>23</xdr:col>
      <xdr:colOff>437443</xdr:colOff>
      <xdr:row>39</xdr:row>
      <xdr:rowOff>70556</xdr:rowOff>
    </xdr:to>
    <xdr:graphicFrame macro="">
      <xdr:nvGraphicFramePr>
        <xdr:cNvPr id="4" name="Chart 3">
          <a:extLst>
            <a:ext uri="{FF2B5EF4-FFF2-40B4-BE49-F238E27FC236}">
              <a16:creationId xmlns:a16="http://schemas.microsoft.com/office/drawing/2014/main" id="{9216AE57-296D-834E-9A43-EB10C613D6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458611</xdr:colOff>
      <xdr:row>46</xdr:row>
      <xdr:rowOff>103011</xdr:rowOff>
    </xdr:from>
    <xdr:to>
      <xdr:col>23</xdr:col>
      <xdr:colOff>599723</xdr:colOff>
      <xdr:row>60</xdr:row>
      <xdr:rowOff>80433</xdr:rowOff>
    </xdr:to>
    <xdr:graphicFrame macro="">
      <xdr:nvGraphicFramePr>
        <xdr:cNvPr id="7" name="Chart 6">
          <a:extLst>
            <a:ext uri="{FF2B5EF4-FFF2-40B4-BE49-F238E27FC236}">
              <a16:creationId xmlns:a16="http://schemas.microsoft.com/office/drawing/2014/main" id="{785BC106-B1A9-1D4C-A089-8F21AD13E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38100</xdr:colOff>
      <xdr:row>2</xdr:row>
      <xdr:rowOff>196850</xdr:rowOff>
    </xdr:from>
    <xdr:to>
      <xdr:col>21</xdr:col>
      <xdr:colOff>482600</xdr:colOff>
      <xdr:row>16</xdr:row>
      <xdr:rowOff>95250</xdr:rowOff>
    </xdr:to>
    <xdr:graphicFrame macro="">
      <xdr:nvGraphicFramePr>
        <xdr:cNvPr id="5" name="Chart 4">
          <a:extLst>
            <a:ext uri="{FF2B5EF4-FFF2-40B4-BE49-F238E27FC236}">
              <a16:creationId xmlns:a16="http://schemas.microsoft.com/office/drawing/2014/main" id="{E4997014-405D-484F-90CF-9E14A4CFF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hyperlink" Target="http://pages.stern.nyu.edu/~adamodar/New_Home_Page/datafile/pedata.html"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tatista.com/statistics/263614/gross-domestic-product-gdp-growth-rate-in-the-united-states/" TargetMode="External"/><Relationship Id="rId2" Type="http://schemas.openxmlformats.org/officeDocument/2006/relationships/hyperlink" Target="https://www.macrotrends.net/stocks/charts/GM/general-motors/revenue" TargetMode="External"/><Relationship Id="rId1" Type="http://schemas.openxmlformats.org/officeDocument/2006/relationships/hyperlink" Target="https://data.worldbank.org/indicator/NY.GDP.MKTP.KD.ZG"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zoomScale="81" workbookViewId="0">
      <pane xSplit="1" ySplit="3" topLeftCell="B4" activePane="bottomRight" state="frozen"/>
      <selection pane="topRight" activeCell="B1" sqref="B1"/>
      <selection pane="bottomLeft" activeCell="A4" sqref="A4"/>
      <selection pane="bottomRight" activeCell="B17" sqref="B17"/>
    </sheetView>
  </sheetViews>
  <sheetFormatPr baseColWidth="10" defaultColWidth="8.83203125" defaultRowHeight="16"/>
  <cols>
    <col min="1" max="1" width="39.83203125" style="15" bestFit="1" customWidth="1"/>
    <col min="2" max="2" width="13.5" style="30" bestFit="1" customWidth="1"/>
    <col min="3" max="3" width="13.5" style="30" customWidth="1"/>
    <col min="4" max="5" width="13.5" style="30" bestFit="1" customWidth="1"/>
    <col min="6" max="6" width="13.5" style="31" customWidth="1"/>
    <col min="7" max="7" width="13.5" style="32" bestFit="1" customWidth="1"/>
    <col min="8" max="8" width="13.5" style="32" customWidth="1"/>
    <col min="9" max="10" width="13.5" style="32" bestFit="1" customWidth="1"/>
    <col min="11" max="11" width="13.5" style="33" customWidth="1"/>
    <col min="12" max="12" width="12.1640625" style="34" bestFit="1" customWidth="1"/>
    <col min="13" max="13" width="12.1640625" style="34" customWidth="1"/>
    <col min="14" max="15" width="12.1640625" style="34" bestFit="1" customWidth="1"/>
    <col min="16" max="16" width="12.1640625" style="34" customWidth="1"/>
    <col min="17" max="16384" width="8.83203125" style="16"/>
  </cols>
  <sheetData>
    <row r="1" spans="1:17">
      <c r="B1" s="395" t="s">
        <v>0</v>
      </c>
      <c r="C1" s="395"/>
      <c r="D1" s="395"/>
      <c r="E1" s="395"/>
      <c r="F1" s="395"/>
      <c r="G1" s="396" t="s">
        <v>1</v>
      </c>
      <c r="H1" s="396"/>
      <c r="I1" s="396"/>
      <c r="J1" s="396"/>
      <c r="K1" s="396"/>
      <c r="L1" s="397" t="s">
        <v>2</v>
      </c>
      <c r="M1" s="397"/>
      <c r="N1" s="397"/>
      <c r="O1" s="397"/>
      <c r="P1" s="397"/>
    </row>
    <row r="2" spans="1:17">
      <c r="A2" s="398" t="s">
        <v>3</v>
      </c>
      <c r="B2" s="3">
        <v>2020</v>
      </c>
      <c r="C2" s="3">
        <v>2019</v>
      </c>
      <c r="D2" s="3">
        <v>2018</v>
      </c>
      <c r="E2" s="3">
        <v>2017</v>
      </c>
      <c r="F2" s="4">
        <v>2016</v>
      </c>
      <c r="G2" s="5">
        <v>2020</v>
      </c>
      <c r="H2" s="5">
        <v>2019</v>
      </c>
      <c r="I2" s="5">
        <v>2018</v>
      </c>
      <c r="J2" s="5">
        <v>2017</v>
      </c>
      <c r="K2" s="6">
        <v>2016</v>
      </c>
      <c r="L2" s="7">
        <v>2020</v>
      </c>
      <c r="M2" s="7">
        <v>2019</v>
      </c>
      <c r="N2" s="7">
        <v>2018</v>
      </c>
      <c r="O2" s="7">
        <v>2017</v>
      </c>
      <c r="P2" s="7">
        <v>2016</v>
      </c>
    </row>
    <row r="3" spans="1:17">
      <c r="A3" s="398"/>
      <c r="B3" s="8" t="s">
        <v>4</v>
      </c>
      <c r="C3" s="8" t="s">
        <v>4</v>
      </c>
      <c r="D3" s="8" t="s">
        <v>4</v>
      </c>
      <c r="E3" s="8" t="s">
        <v>4</v>
      </c>
      <c r="F3" s="9" t="s">
        <v>4</v>
      </c>
      <c r="G3" s="10" t="s">
        <v>4</v>
      </c>
      <c r="H3" s="10" t="s">
        <v>4</v>
      </c>
      <c r="I3" s="10" t="s">
        <v>4</v>
      </c>
      <c r="J3" s="10" t="s">
        <v>4</v>
      </c>
      <c r="K3" s="11" t="s">
        <v>4</v>
      </c>
      <c r="L3" s="12" t="s">
        <v>4</v>
      </c>
      <c r="M3" s="12" t="s">
        <v>4</v>
      </c>
      <c r="N3" s="12" t="s">
        <v>4</v>
      </c>
      <c r="O3" s="12" t="s">
        <v>4</v>
      </c>
      <c r="P3" s="12" t="s">
        <v>4</v>
      </c>
    </row>
    <row r="4" spans="1:17" ht="17">
      <c r="A4" s="54" t="s">
        <v>24</v>
      </c>
      <c r="B4" s="55">
        <v>29038</v>
      </c>
      <c r="C4" s="55">
        <v>23243</v>
      </c>
      <c r="D4" s="55">
        <v>26810</v>
      </c>
      <c r="E4" s="55">
        <v>23825</v>
      </c>
      <c r="F4" s="56">
        <v>24415</v>
      </c>
      <c r="G4" s="57">
        <v>49961</v>
      </c>
      <c r="H4" s="57">
        <v>34651</v>
      </c>
      <c r="I4" s="57">
        <v>33951</v>
      </c>
      <c r="J4" s="57">
        <v>38927</v>
      </c>
      <c r="K4" s="58">
        <v>38827</v>
      </c>
      <c r="L4" s="59">
        <v>19384</v>
      </c>
      <c r="M4" s="59">
        <v>6268</v>
      </c>
      <c r="N4" s="59">
        <v>3879</v>
      </c>
      <c r="O4" s="59">
        <v>3523.2370000000001</v>
      </c>
      <c r="P4" s="59">
        <v>3498.7350000000001</v>
      </c>
    </row>
    <row r="5" spans="1:17" ht="17">
      <c r="A5" s="41" t="s">
        <v>25</v>
      </c>
      <c r="B5" s="42">
        <v>34244</v>
      </c>
      <c r="C5" s="42">
        <v>33398</v>
      </c>
      <c r="D5" s="42">
        <v>33399</v>
      </c>
      <c r="E5" s="42">
        <v>28685</v>
      </c>
      <c r="F5" s="43">
        <v>24827</v>
      </c>
      <c r="G5" s="44">
        <v>9993</v>
      </c>
      <c r="H5" s="44">
        <v>9237</v>
      </c>
      <c r="I5" s="44">
        <v>11195</v>
      </c>
      <c r="J5" s="44">
        <v>10599</v>
      </c>
      <c r="K5" s="45">
        <v>11102</v>
      </c>
      <c r="L5" s="46">
        <v>1886</v>
      </c>
      <c r="M5" s="46">
        <v>1324</v>
      </c>
      <c r="N5" s="46">
        <v>949</v>
      </c>
      <c r="O5" s="46">
        <v>515.38099999999997</v>
      </c>
      <c r="P5" s="46">
        <v>499.142</v>
      </c>
    </row>
    <row r="6" spans="1:17" ht="17">
      <c r="A6" s="41" t="s">
        <v>74</v>
      </c>
      <c r="B6" s="42">
        <v>0</v>
      </c>
      <c r="C6" s="42">
        <v>0</v>
      </c>
      <c r="D6" s="42">
        <v>0</v>
      </c>
      <c r="E6" s="42">
        <v>0</v>
      </c>
      <c r="F6" s="43">
        <v>0</v>
      </c>
      <c r="G6" s="44">
        <f>G10-(G4+G5+G7+G8+G9)</f>
        <v>42401</v>
      </c>
      <c r="H6" s="44">
        <f t="shared" ref="H6:K6" si="0">H10-(H4+H5+H7+H8+H9)</f>
        <v>53651</v>
      </c>
      <c r="I6" s="44">
        <f t="shared" si="0"/>
        <v>54353</v>
      </c>
      <c r="J6" s="44">
        <f t="shared" si="0"/>
        <v>52210</v>
      </c>
      <c r="K6" s="44">
        <f t="shared" si="0"/>
        <v>46266</v>
      </c>
      <c r="L6" s="46">
        <v>0</v>
      </c>
      <c r="M6" s="46">
        <v>0</v>
      </c>
      <c r="N6" s="46">
        <v>0</v>
      </c>
      <c r="O6" s="46">
        <v>0</v>
      </c>
      <c r="P6" s="46">
        <v>0</v>
      </c>
    </row>
    <row r="7" spans="1:17" ht="17">
      <c r="A7" s="41" t="s">
        <v>26</v>
      </c>
      <c r="B7" s="42">
        <v>10235</v>
      </c>
      <c r="C7" s="42">
        <v>10398</v>
      </c>
      <c r="D7" s="42">
        <v>9816</v>
      </c>
      <c r="E7" s="42">
        <v>10663</v>
      </c>
      <c r="F7" s="43">
        <v>11040</v>
      </c>
      <c r="G7" s="44">
        <v>10808</v>
      </c>
      <c r="H7" s="44">
        <v>10786</v>
      </c>
      <c r="I7" s="44">
        <v>11220</v>
      </c>
      <c r="J7" s="44">
        <v>11176</v>
      </c>
      <c r="K7" s="45">
        <v>8898</v>
      </c>
      <c r="L7" s="46">
        <v>4101</v>
      </c>
      <c r="M7" s="46">
        <v>3552</v>
      </c>
      <c r="N7" s="46">
        <v>3113</v>
      </c>
      <c r="O7" s="46">
        <v>2263.5369999999998</v>
      </c>
      <c r="P7" s="46">
        <v>2067.4540000000002</v>
      </c>
    </row>
    <row r="8" spans="1:17" ht="17">
      <c r="A8" s="41" t="s">
        <v>27</v>
      </c>
      <c r="B8" s="42">
        <v>0</v>
      </c>
      <c r="C8" s="42">
        <v>0</v>
      </c>
      <c r="D8" s="42">
        <v>0</v>
      </c>
      <c r="E8" s="42">
        <v>0</v>
      </c>
      <c r="F8" s="43">
        <v>0</v>
      </c>
      <c r="G8" s="44">
        <v>0</v>
      </c>
      <c r="H8" s="44">
        <v>0</v>
      </c>
      <c r="I8" s="44">
        <v>0</v>
      </c>
      <c r="J8" s="44">
        <v>0</v>
      </c>
      <c r="K8" s="45">
        <v>0</v>
      </c>
      <c r="L8" s="46">
        <v>1346</v>
      </c>
      <c r="M8" s="46">
        <v>959</v>
      </c>
      <c r="N8" s="46">
        <v>366</v>
      </c>
      <c r="O8" s="46">
        <v>268.36500000000001</v>
      </c>
      <c r="P8" s="46">
        <v>194.465</v>
      </c>
    </row>
    <row r="9" spans="1:17" ht="17">
      <c r="A9" s="41" t="s">
        <v>28</v>
      </c>
      <c r="B9" s="42">
        <v>7407</v>
      </c>
      <c r="C9" s="42">
        <v>7953</v>
      </c>
      <c r="D9" s="42">
        <v>5268</v>
      </c>
      <c r="E9" s="42">
        <v>5571</v>
      </c>
      <c r="F9" s="43">
        <v>15921</v>
      </c>
      <c r="G9" s="44">
        <v>3581</v>
      </c>
      <c r="H9" s="44">
        <v>5722</v>
      </c>
      <c r="I9" s="44">
        <v>3930</v>
      </c>
      <c r="J9" s="44">
        <v>3889</v>
      </c>
      <c r="K9" s="45">
        <v>3368</v>
      </c>
      <c r="L9" s="46">
        <v>0</v>
      </c>
      <c r="M9" s="46">
        <v>0</v>
      </c>
      <c r="N9" s="46">
        <v>0</v>
      </c>
      <c r="O9" s="46">
        <v>0</v>
      </c>
      <c r="P9" s="46">
        <v>0</v>
      </c>
    </row>
    <row r="10" spans="1:17" s="86" customFormat="1" ht="17">
      <c r="A10" s="47" t="s">
        <v>29</v>
      </c>
      <c r="B10" s="48">
        <f>SUM(B4:B9)</f>
        <v>80924</v>
      </c>
      <c r="C10" s="48">
        <f t="shared" ref="C10:F10" si="1">SUM(C4:C9)</f>
        <v>74992</v>
      </c>
      <c r="D10" s="48">
        <f t="shared" si="1"/>
        <v>75293</v>
      </c>
      <c r="E10" s="48">
        <f t="shared" si="1"/>
        <v>68744</v>
      </c>
      <c r="F10" s="49">
        <f t="shared" si="1"/>
        <v>76203</v>
      </c>
      <c r="G10" s="50">
        <v>116744</v>
      </c>
      <c r="H10" s="50">
        <v>114047</v>
      </c>
      <c r="I10" s="50">
        <v>114649</v>
      </c>
      <c r="J10" s="50">
        <v>116801</v>
      </c>
      <c r="K10" s="51">
        <v>108461</v>
      </c>
      <c r="L10" s="52">
        <f t="shared" ref="L10" si="2">SUM(L4:L9)</f>
        <v>26717</v>
      </c>
      <c r="M10" s="52">
        <f t="shared" ref="M10" si="3">SUM(M4:M9)</f>
        <v>12103</v>
      </c>
      <c r="N10" s="52">
        <f t="shared" ref="N10" si="4">SUM(N4:N9)</f>
        <v>8307</v>
      </c>
      <c r="O10" s="52">
        <f t="shared" ref="O10" si="5">SUM(O4:O9)</f>
        <v>6570.5199999999995</v>
      </c>
      <c r="P10" s="52">
        <f t="shared" ref="P10" si="6">SUM(P4:P9)</f>
        <v>6259.7960000000003</v>
      </c>
    </row>
    <row r="11" spans="1:17" ht="17">
      <c r="A11" s="41" t="s">
        <v>30</v>
      </c>
      <c r="B11" s="42">
        <v>37632</v>
      </c>
      <c r="C11" s="42">
        <v>38750</v>
      </c>
      <c r="D11" s="42">
        <v>38758</v>
      </c>
      <c r="E11" s="42">
        <v>36253</v>
      </c>
      <c r="F11" s="43">
        <v>32603</v>
      </c>
      <c r="G11" s="44">
        <v>37083</v>
      </c>
      <c r="H11" s="44">
        <v>36469</v>
      </c>
      <c r="I11" s="44">
        <v>36178</v>
      </c>
      <c r="J11" s="44">
        <v>35327</v>
      </c>
      <c r="K11" s="45">
        <v>32072</v>
      </c>
      <c r="L11" s="46">
        <v>12747</v>
      </c>
      <c r="M11" s="46">
        <v>10396</v>
      </c>
      <c r="N11" s="46">
        <v>11330</v>
      </c>
      <c r="O11" s="46">
        <v>10027</v>
      </c>
      <c r="P11" s="46">
        <v>5982.9570000000003</v>
      </c>
    </row>
    <row r="12" spans="1:17" ht="17">
      <c r="A12" s="41" t="s">
        <v>31</v>
      </c>
      <c r="B12" s="42">
        <v>8406</v>
      </c>
      <c r="C12" s="42">
        <v>8562</v>
      </c>
      <c r="D12" s="42">
        <v>9215</v>
      </c>
      <c r="E12" s="42">
        <v>9073</v>
      </c>
      <c r="F12" s="43">
        <v>8996</v>
      </c>
      <c r="G12" s="44">
        <v>32852</v>
      </c>
      <c r="H12" s="44">
        <v>31749</v>
      </c>
      <c r="I12" s="44">
        <v>31828</v>
      </c>
      <c r="J12" s="44">
        <v>31320</v>
      </c>
      <c r="K12" s="45">
        <v>32133</v>
      </c>
      <c r="L12" s="46">
        <v>0</v>
      </c>
      <c r="M12" s="46">
        <v>0</v>
      </c>
      <c r="N12" s="46">
        <v>0</v>
      </c>
      <c r="O12" s="46">
        <v>0</v>
      </c>
      <c r="P12" s="46">
        <v>0</v>
      </c>
    </row>
    <row r="13" spans="1:17" ht="17">
      <c r="A13" s="41" t="s">
        <v>32</v>
      </c>
      <c r="B13" s="42">
        <v>5230</v>
      </c>
      <c r="C13" s="42">
        <v>5337</v>
      </c>
      <c r="D13" s="42">
        <v>579</v>
      </c>
      <c r="E13" s="42">
        <v>5849</v>
      </c>
      <c r="F13" s="43">
        <v>6149</v>
      </c>
      <c r="G13" s="44">
        <v>0</v>
      </c>
      <c r="H13" s="44">
        <v>0</v>
      </c>
      <c r="I13" s="44">
        <v>0</v>
      </c>
      <c r="J13" s="44">
        <v>0</v>
      </c>
      <c r="K13" s="45">
        <v>0</v>
      </c>
      <c r="L13" s="46">
        <v>520</v>
      </c>
      <c r="M13" s="46">
        <v>537</v>
      </c>
      <c r="N13" s="46">
        <v>350</v>
      </c>
      <c r="O13" s="46">
        <v>421.73899999999998</v>
      </c>
      <c r="P13" s="46">
        <v>376.14499999999998</v>
      </c>
    </row>
    <row r="14" spans="1:17" ht="17">
      <c r="A14" s="41" t="s">
        <v>33</v>
      </c>
      <c r="B14" s="42">
        <v>47083</v>
      </c>
      <c r="C14" s="42">
        <v>49401</v>
      </c>
      <c r="D14" s="42">
        <v>49329</v>
      </c>
      <c r="E14" s="42">
        <v>47811</v>
      </c>
      <c r="F14" s="43">
        <v>47566</v>
      </c>
      <c r="G14" s="44">
        <v>12882</v>
      </c>
      <c r="H14" s="44">
        <v>10706</v>
      </c>
      <c r="I14" s="44">
        <v>7929</v>
      </c>
      <c r="J14" s="44">
        <v>8104</v>
      </c>
      <c r="K14" s="45">
        <v>5656</v>
      </c>
      <c r="L14" s="46">
        <v>7515</v>
      </c>
      <c r="M14" s="46">
        <v>7608</v>
      </c>
      <c r="N14" s="46">
        <v>7241</v>
      </c>
      <c r="O14" s="46">
        <v>7062.335</v>
      </c>
      <c r="P14" s="46">
        <v>6404.7960000000003</v>
      </c>
    </row>
    <row r="15" spans="1:17" ht="17">
      <c r="A15" s="41" t="s">
        <v>47</v>
      </c>
      <c r="B15" s="42">
        <f>B16-SUM(B11:B14)</f>
        <v>55919</v>
      </c>
      <c r="C15" s="42">
        <f t="shared" ref="C15:P15" si="7">C16-SUM(C11:C14)</f>
        <v>50995</v>
      </c>
      <c r="D15" s="42">
        <f t="shared" si="7"/>
        <v>54165</v>
      </c>
      <c r="E15" s="42">
        <f t="shared" si="7"/>
        <v>44752</v>
      </c>
      <c r="F15" s="43">
        <f t="shared" si="7"/>
        <v>50173</v>
      </c>
      <c r="G15" s="44">
        <f t="shared" si="7"/>
        <v>67700</v>
      </c>
      <c r="H15" s="44">
        <f t="shared" si="7"/>
        <v>65566</v>
      </c>
      <c r="I15" s="44">
        <f t="shared" si="7"/>
        <v>65956</v>
      </c>
      <c r="J15" s="44">
        <f t="shared" si="7"/>
        <v>66944</v>
      </c>
      <c r="K15" s="45">
        <f t="shared" si="7"/>
        <v>59629</v>
      </c>
      <c r="L15" s="46">
        <f t="shared" si="7"/>
        <v>4649</v>
      </c>
      <c r="M15" s="46">
        <f t="shared" si="7"/>
        <v>3665</v>
      </c>
      <c r="N15" s="46">
        <f t="shared" si="7"/>
        <v>2512</v>
      </c>
      <c r="O15" s="46">
        <f t="shared" si="7"/>
        <v>4573.775999999998</v>
      </c>
      <c r="P15" s="46">
        <f t="shared" si="7"/>
        <v>3640.3819999999978</v>
      </c>
      <c r="Q15" s="85"/>
    </row>
    <row r="16" spans="1:17" s="86" customFormat="1" ht="17">
      <c r="A16" s="35" t="s">
        <v>34</v>
      </c>
      <c r="B16" s="36">
        <v>154270</v>
      </c>
      <c r="C16" s="36">
        <v>153045</v>
      </c>
      <c r="D16" s="36">
        <v>152046</v>
      </c>
      <c r="E16" s="36">
        <v>143738</v>
      </c>
      <c r="F16" s="37">
        <v>145487</v>
      </c>
      <c r="G16" s="38">
        <v>150517</v>
      </c>
      <c r="H16" s="38">
        <v>144490</v>
      </c>
      <c r="I16" s="38">
        <v>141891</v>
      </c>
      <c r="J16" s="38">
        <v>141695</v>
      </c>
      <c r="K16" s="39">
        <v>129490</v>
      </c>
      <c r="L16" s="40">
        <v>25431</v>
      </c>
      <c r="M16" s="40">
        <v>22206</v>
      </c>
      <c r="N16" s="40">
        <v>21433</v>
      </c>
      <c r="O16" s="40">
        <v>22084.85</v>
      </c>
      <c r="P16" s="40">
        <v>16404.28</v>
      </c>
    </row>
    <row r="17" spans="1:16" s="86" customFormat="1" ht="17">
      <c r="A17" s="47" t="s">
        <v>35</v>
      </c>
      <c r="B17" s="48">
        <f>B16+B10</f>
        <v>235194</v>
      </c>
      <c r="C17" s="48">
        <f t="shared" ref="C17:P17" si="8">C16+C10</f>
        <v>228037</v>
      </c>
      <c r="D17" s="48">
        <f t="shared" si="8"/>
        <v>227339</v>
      </c>
      <c r="E17" s="48">
        <f t="shared" si="8"/>
        <v>212482</v>
      </c>
      <c r="F17" s="49">
        <f t="shared" si="8"/>
        <v>221690</v>
      </c>
      <c r="G17" s="50">
        <f t="shared" si="8"/>
        <v>267261</v>
      </c>
      <c r="H17" s="50">
        <f t="shared" si="8"/>
        <v>258537</v>
      </c>
      <c r="I17" s="50">
        <f t="shared" si="8"/>
        <v>256540</v>
      </c>
      <c r="J17" s="50">
        <f t="shared" si="8"/>
        <v>258496</v>
      </c>
      <c r="K17" s="51">
        <f t="shared" si="8"/>
        <v>237951</v>
      </c>
      <c r="L17" s="52">
        <f t="shared" si="8"/>
        <v>52148</v>
      </c>
      <c r="M17" s="52">
        <f t="shared" si="8"/>
        <v>34309</v>
      </c>
      <c r="N17" s="52">
        <f t="shared" si="8"/>
        <v>29740</v>
      </c>
      <c r="O17" s="52">
        <f t="shared" si="8"/>
        <v>28655.37</v>
      </c>
      <c r="P17" s="52">
        <f t="shared" si="8"/>
        <v>22664.076000000001</v>
      </c>
    </row>
    <row r="18" spans="1:16" ht="17">
      <c r="A18" s="41" t="s">
        <v>173</v>
      </c>
      <c r="B18" s="42">
        <v>19928</v>
      </c>
      <c r="C18" s="42">
        <v>21018</v>
      </c>
      <c r="D18" s="42">
        <v>22297</v>
      </c>
      <c r="E18" s="42">
        <v>23929</v>
      </c>
      <c r="F18" s="43">
        <v>23333</v>
      </c>
      <c r="G18" s="44">
        <v>22204</v>
      </c>
      <c r="H18" s="44">
        <v>20673</v>
      </c>
      <c r="I18" s="44">
        <v>21520</v>
      </c>
      <c r="J18" s="44">
        <v>23282</v>
      </c>
      <c r="K18" s="45">
        <v>21296</v>
      </c>
      <c r="L18" s="46">
        <v>6051</v>
      </c>
      <c r="M18" s="46">
        <v>3771</v>
      </c>
      <c r="N18" s="46">
        <v>3404</v>
      </c>
      <c r="O18" s="46">
        <v>2390</v>
      </c>
      <c r="P18" s="46">
        <v>1860</v>
      </c>
    </row>
    <row r="19" spans="1:16" ht="17">
      <c r="A19" s="41" t="s">
        <v>174</v>
      </c>
      <c r="B19" s="42">
        <v>37122</v>
      </c>
      <c r="C19" s="42">
        <v>37639</v>
      </c>
      <c r="D19" s="42">
        <v>31891</v>
      </c>
      <c r="E19" s="42">
        <v>26965</v>
      </c>
      <c r="F19" s="43">
        <v>23797</v>
      </c>
      <c r="G19" s="44">
        <v>51666</v>
      </c>
      <c r="H19" s="44">
        <v>54313</v>
      </c>
      <c r="I19" s="44">
        <v>53493</v>
      </c>
      <c r="J19" s="44">
        <v>51621</v>
      </c>
      <c r="K19" s="45">
        <v>49669</v>
      </c>
      <c r="L19" s="46">
        <v>2459</v>
      </c>
      <c r="M19" s="46">
        <v>2070</v>
      </c>
      <c r="N19" s="46">
        <v>2711</v>
      </c>
      <c r="O19" s="46">
        <v>979</v>
      </c>
      <c r="P19" s="46">
        <v>1206</v>
      </c>
    </row>
    <row r="20" spans="1:16" ht="17">
      <c r="A20" s="41" t="s">
        <v>175</v>
      </c>
      <c r="B20" s="42">
        <f>B21-(B18+B19)</f>
        <v>22860</v>
      </c>
      <c r="C20" s="42">
        <f t="shared" ref="C20:F20" si="9">C21-(C18+C19)</f>
        <v>26248</v>
      </c>
      <c r="D20" s="42">
        <f t="shared" si="9"/>
        <v>28049</v>
      </c>
      <c r="E20" s="42">
        <f t="shared" si="9"/>
        <v>25996</v>
      </c>
      <c r="F20" s="43">
        <f t="shared" si="9"/>
        <v>38051</v>
      </c>
      <c r="G20" s="44">
        <f>G21-(G18+G19)</f>
        <v>23322</v>
      </c>
      <c r="H20" s="44">
        <f t="shared" ref="H20:K20" si="10">H21-(H18+H19)</f>
        <v>23146</v>
      </c>
      <c r="I20" s="44">
        <f t="shared" si="10"/>
        <v>20556</v>
      </c>
      <c r="J20" s="44">
        <f t="shared" si="10"/>
        <v>19697</v>
      </c>
      <c r="K20" s="45">
        <f t="shared" si="10"/>
        <v>19316</v>
      </c>
      <c r="L20" s="46">
        <f>L21-(L18+L19)</f>
        <v>5738</v>
      </c>
      <c r="M20" s="46">
        <f t="shared" ref="M20:P20" si="11">M21-(M18+M19)</f>
        <v>4826</v>
      </c>
      <c r="N20" s="46">
        <f t="shared" si="11"/>
        <v>3878</v>
      </c>
      <c r="O20" s="46">
        <f t="shared" si="11"/>
        <v>4305.67</v>
      </c>
      <c r="P20" s="46">
        <f t="shared" si="11"/>
        <v>2761.0050000000001</v>
      </c>
    </row>
    <row r="21" spans="1:16" s="86" customFormat="1" ht="17">
      <c r="A21" s="47" t="s">
        <v>36</v>
      </c>
      <c r="B21" s="48">
        <v>79910</v>
      </c>
      <c r="C21" s="48">
        <v>84905</v>
      </c>
      <c r="D21" s="48">
        <v>82237</v>
      </c>
      <c r="E21" s="48">
        <v>76890</v>
      </c>
      <c r="F21" s="49">
        <v>85181</v>
      </c>
      <c r="G21" s="50">
        <v>97192</v>
      </c>
      <c r="H21" s="50">
        <v>98132</v>
      </c>
      <c r="I21" s="50">
        <v>95569</v>
      </c>
      <c r="J21" s="50">
        <v>94600</v>
      </c>
      <c r="K21" s="51">
        <v>90281</v>
      </c>
      <c r="L21" s="52">
        <v>14248</v>
      </c>
      <c r="M21" s="52">
        <v>10667</v>
      </c>
      <c r="N21" s="52">
        <v>9993</v>
      </c>
      <c r="O21" s="52">
        <v>7674.67</v>
      </c>
      <c r="P21" s="52">
        <v>5827.0050000000001</v>
      </c>
    </row>
    <row r="22" spans="1:16" ht="17">
      <c r="A22" s="41" t="s">
        <v>37</v>
      </c>
      <c r="B22" s="42">
        <v>72981</v>
      </c>
      <c r="C22" s="42">
        <v>65924</v>
      </c>
      <c r="D22" s="42">
        <v>73060</v>
      </c>
      <c r="E22" s="42">
        <v>67254</v>
      </c>
      <c r="F22" s="43">
        <v>51326</v>
      </c>
      <c r="G22" s="44">
        <v>110341</v>
      </c>
      <c r="H22" s="44">
        <v>101361</v>
      </c>
      <c r="I22" s="44">
        <v>100720</v>
      </c>
      <c r="J22" s="44">
        <v>102666</v>
      </c>
      <c r="K22" s="45">
        <v>93301</v>
      </c>
      <c r="L22" s="46">
        <v>9607</v>
      </c>
      <c r="M22" s="46">
        <v>11634</v>
      </c>
      <c r="N22" s="46">
        <v>9404</v>
      </c>
      <c r="O22" s="46">
        <v>9418.39</v>
      </c>
      <c r="P22" s="46">
        <v>5879.12</v>
      </c>
    </row>
    <row r="23" spans="1:16" ht="17">
      <c r="A23" s="41" t="s">
        <v>38</v>
      </c>
      <c r="B23" s="42">
        <v>13447</v>
      </c>
      <c r="C23" s="42">
        <v>13146</v>
      </c>
      <c r="D23" s="42">
        <v>12357</v>
      </c>
      <c r="E23" s="42">
        <v>12394</v>
      </c>
      <c r="F23" s="43">
        <v>20041</v>
      </c>
      <c r="G23" s="44">
        <v>28379</v>
      </c>
      <c r="H23" s="44">
        <v>25324</v>
      </c>
      <c r="I23" s="44">
        <v>23588</v>
      </c>
      <c r="J23" s="44">
        <v>24711</v>
      </c>
      <c r="K23" s="45">
        <v>24395</v>
      </c>
      <c r="L23" s="46">
        <v>3330</v>
      </c>
      <c r="M23" s="46">
        <v>2691</v>
      </c>
      <c r="N23" s="46">
        <v>3039</v>
      </c>
      <c r="O23" s="46">
        <v>4752.192</v>
      </c>
      <c r="P23" s="46">
        <v>4201.0360000000001</v>
      </c>
    </row>
    <row r="24" spans="1:16" ht="17">
      <c r="A24" s="41" t="s">
        <v>48</v>
      </c>
      <c r="B24" s="42">
        <f>B25-SUM(B22:B23)</f>
        <v>19179</v>
      </c>
      <c r="C24" s="42">
        <f t="shared" ref="C24:P24" si="12">C25-SUM(C22:C23)</f>
        <v>18105</v>
      </c>
      <c r="D24" s="42">
        <f t="shared" si="12"/>
        <v>16908</v>
      </c>
      <c r="E24" s="42">
        <f t="shared" si="12"/>
        <v>19744</v>
      </c>
      <c r="F24" s="43">
        <f t="shared" si="12"/>
        <v>21067</v>
      </c>
      <c r="G24" s="44">
        <f t="shared" si="12"/>
        <v>538</v>
      </c>
      <c r="H24" s="44">
        <f t="shared" si="12"/>
        <v>490</v>
      </c>
      <c r="I24" s="44">
        <f t="shared" si="12"/>
        <v>697</v>
      </c>
      <c r="J24" s="44">
        <f t="shared" si="12"/>
        <v>913</v>
      </c>
      <c r="K24" s="45">
        <f t="shared" si="12"/>
        <v>787</v>
      </c>
      <c r="L24" s="46">
        <f t="shared" si="12"/>
        <v>1888</v>
      </c>
      <c r="M24" s="46">
        <f t="shared" si="12"/>
        <v>1850</v>
      </c>
      <c r="N24" s="46">
        <f t="shared" si="12"/>
        <v>1547</v>
      </c>
      <c r="O24" s="46">
        <f t="shared" si="12"/>
        <v>1575.5380000000023</v>
      </c>
      <c r="P24" s="46">
        <f t="shared" si="12"/>
        <v>1218.8240000000005</v>
      </c>
    </row>
    <row r="25" spans="1:16" s="86" customFormat="1" ht="17">
      <c r="A25" s="47" t="s">
        <v>39</v>
      </c>
      <c r="B25" s="48">
        <v>105607</v>
      </c>
      <c r="C25" s="48">
        <v>97175</v>
      </c>
      <c r="D25" s="48">
        <v>102325</v>
      </c>
      <c r="E25" s="48">
        <v>99392</v>
      </c>
      <c r="F25" s="49">
        <v>92434</v>
      </c>
      <c r="G25" s="50">
        <v>139258</v>
      </c>
      <c r="H25" s="50">
        <v>127175</v>
      </c>
      <c r="I25" s="50">
        <v>125005</v>
      </c>
      <c r="J25" s="50">
        <v>128290</v>
      </c>
      <c r="K25" s="51">
        <v>118483</v>
      </c>
      <c r="L25" s="52">
        <v>14825</v>
      </c>
      <c r="M25" s="52">
        <v>16175</v>
      </c>
      <c r="N25" s="52">
        <v>13990</v>
      </c>
      <c r="O25" s="52">
        <v>15746.12</v>
      </c>
      <c r="P25" s="52">
        <v>11298.98</v>
      </c>
    </row>
    <row r="26" spans="1:16" s="86" customFormat="1" ht="17">
      <c r="A26" s="47" t="s">
        <v>40</v>
      </c>
      <c r="B26" s="48">
        <f>B25+B21</f>
        <v>185517</v>
      </c>
      <c r="C26" s="48">
        <f t="shared" ref="C26:P26" si="13">C25+C21</f>
        <v>182080</v>
      </c>
      <c r="D26" s="48">
        <f t="shared" si="13"/>
        <v>184562</v>
      </c>
      <c r="E26" s="48">
        <f t="shared" si="13"/>
        <v>176282</v>
      </c>
      <c r="F26" s="49">
        <f t="shared" si="13"/>
        <v>177615</v>
      </c>
      <c r="G26" s="50">
        <f t="shared" si="13"/>
        <v>236450</v>
      </c>
      <c r="H26" s="50">
        <f t="shared" si="13"/>
        <v>225307</v>
      </c>
      <c r="I26" s="50">
        <f t="shared" si="13"/>
        <v>220574</v>
      </c>
      <c r="J26" s="50">
        <f t="shared" si="13"/>
        <v>222890</v>
      </c>
      <c r="K26" s="51">
        <f t="shared" si="13"/>
        <v>208764</v>
      </c>
      <c r="L26" s="52">
        <f t="shared" si="13"/>
        <v>29073</v>
      </c>
      <c r="M26" s="52">
        <f t="shared" si="13"/>
        <v>26842</v>
      </c>
      <c r="N26" s="52">
        <f t="shared" si="13"/>
        <v>23983</v>
      </c>
      <c r="O26" s="52">
        <f t="shared" si="13"/>
        <v>23420.79</v>
      </c>
      <c r="P26" s="52">
        <f t="shared" si="13"/>
        <v>17125.985000000001</v>
      </c>
    </row>
    <row r="27" spans="1:16" ht="17">
      <c r="A27" s="41" t="s">
        <v>41</v>
      </c>
      <c r="B27" s="42">
        <v>14</v>
      </c>
      <c r="C27" s="42">
        <v>14</v>
      </c>
      <c r="D27" s="42">
        <v>14</v>
      </c>
      <c r="E27" s="42">
        <v>14</v>
      </c>
      <c r="F27" s="43">
        <v>15</v>
      </c>
      <c r="G27" s="44">
        <v>41</v>
      </c>
      <c r="H27" s="44">
        <v>41</v>
      </c>
      <c r="I27" s="44">
        <v>41</v>
      </c>
      <c r="J27" s="44">
        <v>41</v>
      </c>
      <c r="K27" s="45">
        <v>41</v>
      </c>
      <c r="L27" s="46">
        <v>1</v>
      </c>
      <c r="M27" s="46">
        <v>1</v>
      </c>
      <c r="N27" s="46">
        <v>0</v>
      </c>
      <c r="O27" s="46">
        <v>0.16900000000000001</v>
      </c>
      <c r="P27" s="46">
        <v>0.161</v>
      </c>
    </row>
    <row r="28" spans="1:16" ht="17">
      <c r="A28" s="41" t="s">
        <v>49</v>
      </c>
      <c r="B28" s="42">
        <f>B32-SUM(B29:B31)-B27</f>
        <v>31189</v>
      </c>
      <c r="C28" s="42">
        <f>C32-SUM(C29:C31)-C27</f>
        <v>30239</v>
      </c>
      <c r="D28" s="42">
        <f>D32-SUM(D29:D31)-D27</f>
        <v>29480</v>
      </c>
      <c r="E28" s="42">
        <f>E32-SUM(E29:E31)-E27</f>
        <v>26570</v>
      </c>
      <c r="F28" s="43">
        <f>F32-SUM(F29:F31)-F27</f>
        <v>27222</v>
      </c>
      <c r="G28" s="44">
        <f t="shared" ref="G28:P28" si="14">G32-SUM(G29:G31)-G27</f>
        <v>20821</v>
      </c>
      <c r="H28" s="44">
        <f t="shared" si="14"/>
        <v>20597</v>
      </c>
      <c r="I28" s="44">
        <f t="shared" si="14"/>
        <v>20623</v>
      </c>
      <c r="J28" s="44">
        <f t="shared" si="14"/>
        <v>20618</v>
      </c>
      <c r="K28" s="45">
        <f t="shared" si="14"/>
        <v>20525</v>
      </c>
      <c r="L28" s="46">
        <f t="shared" si="14"/>
        <v>28110</v>
      </c>
      <c r="M28" s="46">
        <f t="shared" si="14"/>
        <v>13585</v>
      </c>
      <c r="N28" s="46">
        <f t="shared" si="14"/>
        <v>11083</v>
      </c>
      <c r="O28" s="46">
        <f t="shared" si="14"/>
        <v>10178.370000000001</v>
      </c>
      <c r="P28" s="46">
        <f t="shared" si="14"/>
        <v>8558.902</v>
      </c>
    </row>
    <row r="29" spans="1:16" ht="17">
      <c r="A29" s="41" t="s">
        <v>42</v>
      </c>
      <c r="B29" s="42">
        <v>31962</v>
      </c>
      <c r="C29" s="42">
        <v>26860</v>
      </c>
      <c r="D29" s="42">
        <v>22322</v>
      </c>
      <c r="E29" s="42">
        <v>17627</v>
      </c>
      <c r="F29" s="43">
        <v>26168</v>
      </c>
      <c r="G29" s="44">
        <v>18243</v>
      </c>
      <c r="H29" s="44">
        <v>20320</v>
      </c>
      <c r="I29" s="44">
        <v>22668</v>
      </c>
      <c r="J29" s="44">
        <v>21906</v>
      </c>
      <c r="K29" s="45">
        <v>15634</v>
      </c>
      <c r="L29" s="46">
        <v>-5399</v>
      </c>
      <c r="M29" s="46">
        <v>-6083</v>
      </c>
      <c r="N29" s="46">
        <v>-5318</v>
      </c>
      <c r="O29" s="46">
        <v>-4974.299</v>
      </c>
      <c r="P29" s="46">
        <v>-2997.2370000000001</v>
      </c>
    </row>
    <row r="30" spans="1:16" ht="17">
      <c r="A30" s="41" t="s">
        <v>43</v>
      </c>
      <c r="B30" s="42">
        <v>-13488</v>
      </c>
      <c r="C30" s="42">
        <v>-11156</v>
      </c>
      <c r="D30" s="42">
        <v>-9039</v>
      </c>
      <c r="E30" s="42">
        <v>-8011</v>
      </c>
      <c r="F30" s="43">
        <v>-9330</v>
      </c>
      <c r="G30" s="44">
        <v>-8294</v>
      </c>
      <c r="H30" s="44">
        <v>-7728</v>
      </c>
      <c r="I30" s="44">
        <v>-7366</v>
      </c>
      <c r="J30" s="44">
        <v>-6959</v>
      </c>
      <c r="K30" s="45">
        <v>-7013</v>
      </c>
      <c r="L30" s="46">
        <v>363</v>
      </c>
      <c r="M30" s="46">
        <v>-36</v>
      </c>
      <c r="N30" s="46">
        <v>-8</v>
      </c>
      <c r="O30" s="46">
        <v>33.347999999999999</v>
      </c>
      <c r="P30" s="46">
        <v>-23.74</v>
      </c>
    </row>
    <row r="31" spans="1:16" ht="17">
      <c r="A31" s="54" t="s">
        <v>44</v>
      </c>
      <c r="B31" s="55"/>
      <c r="C31" s="55"/>
      <c r="D31" s="55"/>
      <c r="E31" s="55"/>
      <c r="F31" s="56"/>
      <c r="G31" s="57">
        <v>0</v>
      </c>
      <c r="H31" s="57">
        <v>0</v>
      </c>
      <c r="I31" s="57">
        <v>0</v>
      </c>
      <c r="J31" s="57">
        <v>0</v>
      </c>
      <c r="K31" s="58">
        <v>0</v>
      </c>
      <c r="L31" s="59">
        <v>0</v>
      </c>
      <c r="M31" s="59">
        <v>0</v>
      </c>
      <c r="N31" s="59">
        <v>0</v>
      </c>
      <c r="O31" s="59">
        <v>0</v>
      </c>
      <c r="P31" s="59">
        <v>0</v>
      </c>
    </row>
    <row r="32" spans="1:16" s="86" customFormat="1" ht="17">
      <c r="A32" s="47" t="s">
        <v>45</v>
      </c>
      <c r="B32" s="48">
        <v>49677</v>
      </c>
      <c r="C32" s="48">
        <v>45957</v>
      </c>
      <c r="D32" s="48">
        <v>42777</v>
      </c>
      <c r="E32" s="48">
        <v>36200</v>
      </c>
      <c r="F32" s="49">
        <v>44075</v>
      </c>
      <c r="G32" s="50">
        <v>30811</v>
      </c>
      <c r="H32" s="50">
        <v>33230</v>
      </c>
      <c r="I32" s="50">
        <v>35966</v>
      </c>
      <c r="J32" s="50">
        <v>35606</v>
      </c>
      <c r="K32" s="51">
        <v>29187</v>
      </c>
      <c r="L32" s="52">
        <v>23075</v>
      </c>
      <c r="M32" s="52">
        <v>7467</v>
      </c>
      <c r="N32" s="52">
        <v>5757</v>
      </c>
      <c r="O32" s="52">
        <v>5237.5879999999997</v>
      </c>
      <c r="P32" s="52">
        <v>5538.0860000000002</v>
      </c>
    </row>
    <row r="33" spans="1:16" s="86" customFormat="1" ht="17">
      <c r="A33" s="47" t="s">
        <v>46</v>
      </c>
      <c r="B33" s="48">
        <f>B32+B26</f>
        <v>235194</v>
      </c>
      <c r="C33" s="48">
        <f t="shared" ref="C33:P33" si="15">C32+C26</f>
        <v>228037</v>
      </c>
      <c r="D33" s="48">
        <f t="shared" si="15"/>
        <v>227339</v>
      </c>
      <c r="E33" s="48">
        <f t="shared" si="15"/>
        <v>212482</v>
      </c>
      <c r="F33" s="49">
        <f t="shared" si="15"/>
        <v>221690</v>
      </c>
      <c r="G33" s="50">
        <f t="shared" si="15"/>
        <v>267261</v>
      </c>
      <c r="H33" s="50">
        <f t="shared" si="15"/>
        <v>258537</v>
      </c>
      <c r="I33" s="50">
        <f t="shared" si="15"/>
        <v>256540</v>
      </c>
      <c r="J33" s="50">
        <f t="shared" si="15"/>
        <v>258496</v>
      </c>
      <c r="K33" s="51">
        <f t="shared" si="15"/>
        <v>237951</v>
      </c>
      <c r="L33" s="52">
        <f t="shared" si="15"/>
        <v>52148</v>
      </c>
      <c r="M33" s="52">
        <f t="shared" si="15"/>
        <v>34309</v>
      </c>
      <c r="N33" s="52">
        <f t="shared" si="15"/>
        <v>29740</v>
      </c>
      <c r="O33" s="52">
        <f t="shared" si="15"/>
        <v>28658.378000000001</v>
      </c>
      <c r="P33" s="52">
        <f t="shared" si="15"/>
        <v>22664.071</v>
      </c>
    </row>
    <row r="34" spans="1:16">
      <c r="A34" s="41"/>
      <c r="B34" s="42"/>
      <c r="C34" s="42"/>
      <c r="D34" s="42"/>
      <c r="E34" s="42"/>
      <c r="F34" s="43"/>
      <c r="G34" s="44"/>
      <c r="H34" s="44"/>
      <c r="I34" s="44"/>
      <c r="J34" s="44"/>
      <c r="K34" s="45"/>
      <c r="L34" s="46"/>
      <c r="M34" s="46"/>
      <c r="N34" s="46"/>
      <c r="O34" s="46"/>
      <c r="P34" s="46"/>
    </row>
    <row r="35" spans="1:16" s="86" customFormat="1" ht="17">
      <c r="A35" s="47" t="s">
        <v>160</v>
      </c>
      <c r="B35" s="48">
        <v>59890</v>
      </c>
      <c r="C35" s="48">
        <v>51240</v>
      </c>
      <c r="D35" s="48">
        <v>47870</v>
      </c>
      <c r="E35" s="48">
        <v>58680</v>
      </c>
      <c r="F35" s="49">
        <v>54180</v>
      </c>
      <c r="G35" s="50">
        <v>35090</v>
      </c>
      <c r="H35" s="50">
        <v>36870</v>
      </c>
      <c r="I35" s="50">
        <v>31070</v>
      </c>
      <c r="J35" s="50">
        <v>49650</v>
      </c>
      <c r="K35" s="51">
        <v>48680</v>
      </c>
      <c r="L35" s="52">
        <v>631290</v>
      </c>
      <c r="M35" s="52">
        <v>75740</v>
      </c>
      <c r="N35" s="52">
        <v>57340</v>
      </c>
      <c r="O35" s="52">
        <v>53550</v>
      </c>
      <c r="P35" s="52">
        <v>34420</v>
      </c>
    </row>
    <row r="36" spans="1:16">
      <c r="A36" s="41"/>
      <c r="B36" s="42"/>
      <c r="C36" s="42"/>
      <c r="D36" s="42"/>
      <c r="E36" s="42"/>
      <c r="F36" s="43"/>
      <c r="G36" s="44"/>
      <c r="H36" s="44"/>
      <c r="I36" s="44"/>
      <c r="J36" s="44"/>
      <c r="K36" s="45"/>
      <c r="L36" s="46"/>
      <c r="M36" s="46"/>
      <c r="N36" s="46"/>
      <c r="O36" s="46"/>
      <c r="P36" s="46"/>
    </row>
    <row r="37" spans="1:16">
      <c r="A37" s="41"/>
      <c r="B37" s="42"/>
      <c r="C37" s="42"/>
      <c r="D37" s="42"/>
      <c r="E37" s="42"/>
      <c r="F37" s="43"/>
      <c r="G37" s="44"/>
      <c r="H37" s="44"/>
      <c r="I37" s="44"/>
      <c r="J37" s="44"/>
      <c r="K37" s="45"/>
      <c r="L37" s="46"/>
      <c r="M37" s="46"/>
      <c r="N37" s="46"/>
      <c r="O37" s="46"/>
      <c r="P37" s="46"/>
    </row>
    <row r="38" spans="1:16" s="86" customFormat="1">
      <c r="A38" s="35"/>
      <c r="B38" s="36"/>
      <c r="C38" s="36"/>
      <c r="D38" s="36"/>
      <c r="E38" s="36"/>
      <c r="F38" s="37"/>
      <c r="G38" s="38"/>
      <c r="H38" s="38"/>
      <c r="I38" s="38"/>
      <c r="J38" s="38"/>
      <c r="K38" s="39"/>
      <c r="L38" s="40"/>
      <c r="M38" s="40"/>
      <c r="N38" s="40"/>
      <c r="O38" s="40"/>
      <c r="P38" s="40"/>
    </row>
    <row r="39" spans="1:16">
      <c r="A39" s="41"/>
      <c r="B39" s="42"/>
      <c r="C39" s="42"/>
      <c r="D39" s="42"/>
      <c r="E39" s="42"/>
      <c r="F39" s="43"/>
      <c r="G39" s="44"/>
      <c r="H39" s="44"/>
      <c r="I39" s="44"/>
      <c r="J39" s="44"/>
      <c r="K39" s="45"/>
      <c r="L39" s="46"/>
      <c r="M39" s="46"/>
      <c r="N39" s="46"/>
      <c r="O39" s="46"/>
      <c r="P39" s="46"/>
    </row>
    <row r="40" spans="1:16">
      <c r="A40" s="41"/>
      <c r="B40" s="42"/>
      <c r="C40" s="42"/>
      <c r="D40" s="42"/>
      <c r="E40" s="42"/>
      <c r="F40" s="43"/>
      <c r="G40" s="44"/>
      <c r="H40" s="44"/>
      <c r="I40" s="44"/>
      <c r="J40" s="44"/>
      <c r="K40" s="45"/>
      <c r="L40" s="46"/>
      <c r="M40" s="46"/>
      <c r="N40" s="46"/>
      <c r="O40" s="46"/>
      <c r="P40" s="46"/>
    </row>
    <row r="41" spans="1:16">
      <c r="A41" s="41"/>
      <c r="B41" s="42"/>
      <c r="C41" s="42"/>
      <c r="D41" s="42"/>
      <c r="E41" s="42"/>
      <c r="F41" s="43"/>
      <c r="G41" s="44"/>
      <c r="H41" s="44"/>
      <c r="I41" s="44"/>
      <c r="J41" s="44"/>
      <c r="K41" s="45"/>
      <c r="L41" s="46"/>
      <c r="M41" s="46"/>
      <c r="N41" s="46"/>
      <c r="O41" s="46"/>
      <c r="P41" s="46"/>
    </row>
    <row r="42" spans="1:16">
      <c r="A42" s="41"/>
      <c r="B42" s="42"/>
      <c r="C42" s="42"/>
      <c r="D42" s="42"/>
      <c r="E42" s="42"/>
      <c r="F42" s="43"/>
      <c r="G42" s="44"/>
      <c r="H42" s="44"/>
      <c r="I42" s="44"/>
      <c r="J42" s="44"/>
      <c r="K42" s="45"/>
      <c r="L42" s="46"/>
      <c r="M42" s="46"/>
      <c r="N42" s="46"/>
      <c r="O42" s="46"/>
      <c r="P42" s="46"/>
    </row>
    <row r="43" spans="1:16">
      <c r="A43" s="41"/>
      <c r="B43" s="42"/>
      <c r="C43" s="42"/>
      <c r="D43" s="42"/>
      <c r="E43" s="42"/>
      <c r="F43" s="43"/>
      <c r="G43" s="44"/>
      <c r="H43" s="44"/>
      <c r="I43" s="44"/>
      <c r="J43" s="44"/>
      <c r="K43" s="45"/>
      <c r="L43" s="46"/>
      <c r="M43" s="46"/>
      <c r="N43" s="46"/>
      <c r="O43" s="46"/>
      <c r="P43" s="46"/>
    </row>
    <row r="44" spans="1:16">
      <c r="A44" s="41"/>
      <c r="B44" s="42"/>
      <c r="C44" s="42"/>
      <c r="D44" s="42"/>
      <c r="E44" s="42"/>
      <c r="F44" s="43"/>
      <c r="G44" s="44"/>
      <c r="H44" s="44"/>
      <c r="I44" s="44"/>
      <c r="J44" s="44"/>
      <c r="K44" s="45"/>
      <c r="L44" s="46"/>
      <c r="M44" s="46"/>
      <c r="N44" s="46"/>
      <c r="O44" s="46"/>
      <c r="P44" s="46"/>
    </row>
    <row r="45" spans="1:16" s="86" customFormat="1">
      <c r="A45" s="35"/>
      <c r="B45" s="36"/>
      <c r="C45" s="36"/>
      <c r="D45" s="36"/>
      <c r="E45" s="36"/>
      <c r="F45" s="37"/>
      <c r="G45" s="38"/>
      <c r="H45" s="38"/>
      <c r="I45" s="38"/>
      <c r="J45" s="38"/>
      <c r="K45" s="39"/>
      <c r="L45" s="40"/>
      <c r="M45" s="40"/>
      <c r="N45" s="40"/>
      <c r="O45" s="40"/>
      <c r="P45" s="40"/>
    </row>
    <row r="46" spans="1:16">
      <c r="A46" s="41"/>
      <c r="B46" s="42"/>
      <c r="C46" s="42"/>
      <c r="D46" s="42"/>
      <c r="E46" s="42"/>
      <c r="F46" s="43"/>
      <c r="G46" s="44"/>
      <c r="H46" s="44"/>
      <c r="I46" s="44"/>
      <c r="J46" s="44"/>
      <c r="K46" s="45"/>
      <c r="L46" s="46"/>
      <c r="M46" s="46"/>
      <c r="N46" s="46"/>
      <c r="O46" s="46"/>
      <c r="P46" s="46"/>
    </row>
    <row r="47" spans="1:16">
      <c r="A47" s="41"/>
      <c r="B47" s="42"/>
      <c r="C47" s="42"/>
      <c r="D47" s="42"/>
      <c r="E47" s="42"/>
      <c r="F47" s="43"/>
      <c r="G47" s="44"/>
      <c r="H47" s="44"/>
      <c r="I47" s="44"/>
      <c r="J47" s="44"/>
      <c r="K47" s="45"/>
      <c r="L47" s="46"/>
      <c r="M47" s="46"/>
      <c r="N47" s="46"/>
      <c r="O47" s="46"/>
      <c r="P47" s="46"/>
    </row>
    <row r="48" spans="1:16">
      <c r="A48" s="41"/>
      <c r="B48" s="42"/>
      <c r="C48" s="42"/>
      <c r="D48" s="42"/>
      <c r="E48" s="42"/>
      <c r="F48" s="43"/>
      <c r="G48" s="44"/>
      <c r="H48" s="44"/>
      <c r="I48" s="44"/>
      <c r="J48" s="44"/>
      <c r="K48" s="45"/>
      <c r="L48" s="46"/>
      <c r="M48" s="46"/>
      <c r="N48" s="46"/>
      <c r="O48" s="46"/>
      <c r="P48" s="46"/>
    </row>
    <row r="49" spans="1:16">
      <c r="A49" s="41"/>
      <c r="B49" s="42"/>
      <c r="C49" s="42"/>
      <c r="D49" s="42"/>
      <c r="E49" s="42"/>
      <c r="F49" s="43"/>
      <c r="G49" s="44"/>
      <c r="H49" s="44"/>
      <c r="I49" s="44"/>
      <c r="J49" s="44"/>
      <c r="K49" s="45"/>
      <c r="L49" s="46"/>
      <c r="M49" s="46"/>
      <c r="N49" s="46"/>
      <c r="O49" s="46"/>
      <c r="P49" s="46"/>
    </row>
    <row r="50" spans="1:16">
      <c r="A50" s="41"/>
      <c r="B50" s="42"/>
      <c r="C50" s="42"/>
      <c r="D50" s="42"/>
      <c r="E50" s="42"/>
      <c r="F50" s="43"/>
      <c r="G50" s="44"/>
      <c r="H50" s="44"/>
      <c r="I50" s="44"/>
      <c r="J50" s="44"/>
      <c r="K50" s="45"/>
      <c r="L50" s="46"/>
      <c r="M50" s="46"/>
      <c r="N50" s="46"/>
      <c r="O50" s="46"/>
      <c r="P50" s="46"/>
    </row>
    <row r="51" spans="1:16">
      <c r="A51" s="41"/>
      <c r="B51" s="42"/>
      <c r="C51" s="42"/>
      <c r="D51" s="42"/>
      <c r="E51" s="42"/>
      <c r="F51" s="43"/>
      <c r="G51" s="44"/>
      <c r="H51" s="44"/>
      <c r="I51" s="44"/>
      <c r="J51" s="44"/>
      <c r="K51" s="45"/>
      <c r="L51" s="46"/>
      <c r="M51" s="46"/>
      <c r="N51" s="46"/>
      <c r="O51" s="46"/>
      <c r="P51" s="46"/>
    </row>
    <row r="52" spans="1:16">
      <c r="A52" s="41"/>
      <c r="B52" s="42"/>
      <c r="C52" s="42"/>
      <c r="D52" s="42"/>
      <c r="E52" s="42"/>
      <c r="F52" s="43"/>
      <c r="G52" s="44"/>
      <c r="H52" s="44"/>
      <c r="I52" s="44"/>
      <c r="J52" s="44"/>
      <c r="K52" s="45"/>
      <c r="L52" s="46"/>
      <c r="M52" s="46"/>
      <c r="N52" s="46"/>
      <c r="O52" s="46"/>
      <c r="P52" s="46"/>
    </row>
    <row r="53" spans="1:16">
      <c r="A53" s="41"/>
      <c r="B53" s="42"/>
      <c r="C53" s="42"/>
      <c r="D53" s="42"/>
      <c r="E53" s="42"/>
      <c r="F53" s="43"/>
      <c r="G53" s="44"/>
      <c r="H53" s="44"/>
      <c r="I53" s="44"/>
      <c r="J53" s="44"/>
      <c r="K53" s="45"/>
      <c r="L53" s="46"/>
      <c r="M53" s="46"/>
      <c r="N53" s="46"/>
      <c r="O53" s="46"/>
      <c r="P53" s="46"/>
    </row>
    <row r="54" spans="1:16">
      <c r="A54" s="41"/>
      <c r="B54" s="42"/>
      <c r="C54" s="42"/>
      <c r="D54" s="42"/>
      <c r="E54" s="42"/>
      <c r="F54" s="43"/>
      <c r="G54" s="44"/>
      <c r="H54" s="44"/>
      <c r="I54" s="44"/>
      <c r="J54" s="44"/>
      <c r="K54" s="45"/>
      <c r="L54" s="46"/>
      <c r="M54" s="46"/>
      <c r="N54" s="46"/>
      <c r="O54" s="46"/>
      <c r="P54" s="46"/>
    </row>
    <row r="55" spans="1:16" s="86" customFormat="1">
      <c r="A55" s="35"/>
      <c r="B55" s="36"/>
      <c r="C55" s="36"/>
      <c r="D55" s="36"/>
      <c r="E55" s="36"/>
      <c r="F55" s="37"/>
      <c r="G55" s="38"/>
      <c r="H55" s="38"/>
      <c r="I55" s="38"/>
      <c r="J55" s="38"/>
      <c r="K55" s="39"/>
      <c r="L55" s="40"/>
      <c r="M55" s="40"/>
      <c r="N55" s="40"/>
      <c r="O55" s="40"/>
      <c r="P55" s="40"/>
    </row>
    <row r="56" spans="1:16">
      <c r="A56" s="35"/>
      <c r="B56" s="55"/>
      <c r="C56" s="55"/>
      <c r="D56" s="55"/>
      <c r="E56" s="55"/>
      <c r="F56" s="56"/>
      <c r="G56" s="57"/>
      <c r="H56" s="57"/>
      <c r="I56" s="57"/>
      <c r="J56" s="57"/>
      <c r="K56" s="58"/>
      <c r="L56" s="59"/>
      <c r="M56" s="59"/>
      <c r="N56" s="59"/>
      <c r="O56" s="59"/>
      <c r="P56" s="59"/>
    </row>
    <row r="57" spans="1:16">
      <c r="A57" s="35"/>
      <c r="B57" s="55"/>
      <c r="C57" s="55"/>
      <c r="D57" s="55"/>
      <c r="E57" s="55"/>
      <c r="F57" s="56"/>
      <c r="G57" s="57"/>
      <c r="H57" s="57"/>
      <c r="I57" s="57"/>
      <c r="J57" s="57"/>
      <c r="K57" s="58"/>
      <c r="L57" s="59"/>
      <c r="M57" s="59"/>
      <c r="N57" s="59"/>
      <c r="O57" s="59"/>
      <c r="P57" s="59"/>
    </row>
    <row r="58" spans="1:16">
      <c r="G58" s="87"/>
      <c r="H58" s="87"/>
    </row>
    <row r="59" spans="1:16">
      <c r="A59" s="88"/>
    </row>
  </sheetData>
  <mergeCells count="4">
    <mergeCell ref="B1:F1"/>
    <mergeCell ref="G1:K1"/>
    <mergeCell ref="L1:P1"/>
    <mergeCell ref="A2:A3"/>
  </mergeCells>
  <pageMargins left="0.7" right="0.7" top="0.75" bottom="0.75" header="0.3" footer="0.3"/>
  <ignoredErrors>
    <ignoredError sqref="G15 H15:K15 B24:P24"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
  <sheetViews>
    <sheetView zoomScale="75" workbookViewId="0">
      <pane xSplit="1" ySplit="3" topLeftCell="B4" activePane="bottomRight" state="frozen"/>
      <selection pane="topRight" activeCell="B1" sqref="B1"/>
      <selection pane="bottomLeft" activeCell="A4" sqref="A4"/>
      <selection pane="bottomRight" activeCell="A20" sqref="A20"/>
    </sheetView>
  </sheetViews>
  <sheetFormatPr baseColWidth="10" defaultColWidth="8.83203125" defaultRowHeight="16"/>
  <cols>
    <col min="1" max="1" width="51.6640625" style="15" bestFit="1" customWidth="1"/>
    <col min="2" max="2" width="13.5" style="30" bestFit="1" customWidth="1"/>
    <col min="3" max="3" width="13.5" style="30" customWidth="1"/>
    <col min="4" max="5" width="13.5" style="30" bestFit="1" customWidth="1"/>
    <col min="6" max="6" width="13.5" style="31" customWidth="1"/>
    <col min="7" max="7" width="13.5" style="32" bestFit="1" customWidth="1"/>
    <col min="8" max="8" width="13.5" style="32" customWidth="1"/>
    <col min="9" max="10" width="13.5" style="32" bestFit="1" customWidth="1"/>
    <col min="11" max="11" width="13.5" style="33" customWidth="1"/>
    <col min="12" max="12" width="12.1640625" style="34" bestFit="1" customWidth="1"/>
    <col min="13" max="13" width="12.1640625" style="34" customWidth="1"/>
    <col min="14" max="14" width="12.1640625" style="34" bestFit="1" customWidth="1"/>
    <col min="15" max="15" width="12.1640625" style="34" customWidth="1"/>
    <col min="16" max="16" width="12.1640625" style="34" bestFit="1" customWidth="1"/>
    <col min="17" max="16384" width="8.83203125" style="26"/>
  </cols>
  <sheetData>
    <row r="1" spans="1:16">
      <c r="B1" s="395" t="s">
        <v>0</v>
      </c>
      <c r="C1" s="395"/>
      <c r="D1" s="395"/>
      <c r="E1" s="395"/>
      <c r="F1" s="395"/>
      <c r="G1" s="396" t="s">
        <v>1</v>
      </c>
      <c r="H1" s="396"/>
      <c r="I1" s="396"/>
      <c r="J1" s="396"/>
      <c r="K1" s="396"/>
      <c r="L1" s="397" t="s">
        <v>2</v>
      </c>
      <c r="M1" s="397"/>
      <c r="N1" s="397"/>
      <c r="O1" s="397"/>
      <c r="P1" s="397"/>
    </row>
    <row r="2" spans="1:16">
      <c r="A2" s="398" t="s">
        <v>3</v>
      </c>
      <c r="B2" s="3">
        <v>2020</v>
      </c>
      <c r="C2" s="3">
        <v>2019</v>
      </c>
      <c r="D2" s="3">
        <v>2018</v>
      </c>
      <c r="E2" s="3">
        <v>2017</v>
      </c>
      <c r="F2" s="4">
        <v>2016</v>
      </c>
      <c r="G2" s="5">
        <v>2020</v>
      </c>
      <c r="H2" s="5">
        <v>2019</v>
      </c>
      <c r="I2" s="5">
        <v>2018</v>
      </c>
      <c r="J2" s="5">
        <v>2017</v>
      </c>
      <c r="K2" s="6">
        <v>2016</v>
      </c>
      <c r="L2" s="7">
        <v>2020</v>
      </c>
      <c r="M2" s="7">
        <v>2019</v>
      </c>
      <c r="N2" s="7">
        <v>2018</v>
      </c>
      <c r="O2" s="7">
        <v>2017</v>
      </c>
      <c r="P2" s="7">
        <v>2016</v>
      </c>
    </row>
    <row r="3" spans="1:16">
      <c r="A3" s="398"/>
      <c r="B3" s="8" t="s">
        <v>4</v>
      </c>
      <c r="C3" s="8" t="s">
        <v>4</v>
      </c>
      <c r="D3" s="8" t="s">
        <v>4</v>
      </c>
      <c r="E3" s="8" t="s">
        <v>4</v>
      </c>
      <c r="F3" s="9" t="s">
        <v>4</v>
      </c>
      <c r="G3" s="10" t="s">
        <v>4</v>
      </c>
      <c r="H3" s="10" t="s">
        <v>4</v>
      </c>
      <c r="I3" s="10" t="s">
        <v>4</v>
      </c>
      <c r="J3" s="10" t="s">
        <v>4</v>
      </c>
      <c r="K3" s="11" t="s">
        <v>4</v>
      </c>
      <c r="L3" s="12" t="s">
        <v>4</v>
      </c>
      <c r="M3" s="12" t="s">
        <v>4</v>
      </c>
      <c r="N3" s="12" t="s">
        <v>4</v>
      </c>
      <c r="O3" s="12" t="s">
        <v>4</v>
      </c>
      <c r="P3" s="12" t="s">
        <v>4</v>
      </c>
    </row>
    <row r="4" spans="1:16" s="53" customFormat="1" ht="17">
      <c r="A4" s="35" t="s">
        <v>5</v>
      </c>
      <c r="B4" s="36">
        <v>122485</v>
      </c>
      <c r="C4" s="36">
        <v>137237</v>
      </c>
      <c r="D4" s="36">
        <v>147049</v>
      </c>
      <c r="E4" s="36">
        <v>145588</v>
      </c>
      <c r="F4" s="37">
        <v>149184</v>
      </c>
      <c r="G4" s="38">
        <v>127144</v>
      </c>
      <c r="H4" s="38">
        <v>155900</v>
      </c>
      <c r="I4" s="38">
        <v>160338</v>
      </c>
      <c r="J4" s="38">
        <v>156776</v>
      </c>
      <c r="K4" s="39">
        <v>151800</v>
      </c>
      <c r="L4" s="40">
        <v>31536</v>
      </c>
      <c r="M4" s="40">
        <v>24578</v>
      </c>
      <c r="N4" s="40">
        <v>21461</v>
      </c>
      <c r="O4" s="40">
        <v>11759</v>
      </c>
      <c r="P4" s="40">
        <v>7000.1319999999996</v>
      </c>
    </row>
    <row r="5" spans="1:16" ht="17">
      <c r="A5" s="41" t="s">
        <v>6</v>
      </c>
      <c r="B5" s="42">
        <v>108813</v>
      </c>
      <c r="C5" s="42">
        <v>123265</v>
      </c>
      <c r="D5" s="42">
        <v>132954</v>
      </c>
      <c r="E5" s="42">
        <v>127357</v>
      </c>
      <c r="F5" s="43">
        <v>130153</v>
      </c>
      <c r="G5" s="44">
        <v>112752</v>
      </c>
      <c r="H5" s="44">
        <v>134693</v>
      </c>
      <c r="I5" s="44">
        <v>136269</v>
      </c>
      <c r="J5" s="44">
        <v>131321</v>
      </c>
      <c r="K5" s="45">
        <v>126195</v>
      </c>
      <c r="L5" s="46">
        <v>24906</v>
      </c>
      <c r="M5" s="46">
        <v>20509</v>
      </c>
      <c r="N5" s="46">
        <v>17419</v>
      </c>
      <c r="O5" s="46">
        <v>9536</v>
      </c>
      <c r="P5" s="46">
        <v>5400.875</v>
      </c>
    </row>
    <row r="6" spans="1:16" s="53" customFormat="1" ht="17">
      <c r="A6" s="47" t="s">
        <v>7</v>
      </c>
      <c r="B6" s="48">
        <f>B4-B5</f>
        <v>13672</v>
      </c>
      <c r="C6" s="48">
        <f t="shared" ref="C6:F6" si="0">C4-C5</f>
        <v>13972</v>
      </c>
      <c r="D6" s="48">
        <f t="shared" si="0"/>
        <v>14095</v>
      </c>
      <c r="E6" s="48">
        <f t="shared" si="0"/>
        <v>18231</v>
      </c>
      <c r="F6" s="49">
        <f t="shared" si="0"/>
        <v>19031</v>
      </c>
      <c r="G6" s="50">
        <f>G4-G5</f>
        <v>14392</v>
      </c>
      <c r="H6" s="50">
        <f t="shared" ref="H6:K6" si="1">H4-H5</f>
        <v>21207</v>
      </c>
      <c r="I6" s="50">
        <f t="shared" si="1"/>
        <v>24069</v>
      </c>
      <c r="J6" s="50">
        <f t="shared" si="1"/>
        <v>25455</v>
      </c>
      <c r="K6" s="51">
        <f t="shared" si="1"/>
        <v>25605</v>
      </c>
      <c r="L6" s="52">
        <f>L4-L5</f>
        <v>6630</v>
      </c>
      <c r="M6" s="52">
        <f t="shared" ref="M6:P6" si="2">M4-M5</f>
        <v>4069</v>
      </c>
      <c r="N6" s="52">
        <f t="shared" si="2"/>
        <v>4042</v>
      </c>
      <c r="O6" s="52">
        <f t="shared" si="2"/>
        <v>2223</v>
      </c>
      <c r="P6" s="52">
        <f t="shared" si="2"/>
        <v>1599.2569999999996</v>
      </c>
    </row>
    <row r="7" spans="1:16" ht="17">
      <c r="A7" s="54" t="s">
        <v>8</v>
      </c>
      <c r="B7" s="55">
        <v>0</v>
      </c>
      <c r="C7" s="55">
        <v>0</v>
      </c>
      <c r="D7" s="55">
        <v>0</v>
      </c>
      <c r="E7" s="55">
        <v>0</v>
      </c>
      <c r="F7" s="56">
        <v>0</v>
      </c>
      <c r="G7" s="57">
        <v>0</v>
      </c>
      <c r="H7" s="57">
        <v>0</v>
      </c>
      <c r="I7" s="57">
        <v>0</v>
      </c>
      <c r="J7" s="57">
        <v>0</v>
      </c>
      <c r="K7" s="58">
        <v>0</v>
      </c>
      <c r="L7" s="59">
        <v>1491</v>
      </c>
      <c r="M7" s="59">
        <v>1343</v>
      </c>
      <c r="N7" s="59">
        <v>1460</v>
      </c>
      <c r="O7" s="59">
        <v>1378</v>
      </c>
      <c r="P7" s="59">
        <v>834.40800000000002</v>
      </c>
    </row>
    <row r="8" spans="1:16" ht="17">
      <c r="A8" s="54" t="s">
        <v>9</v>
      </c>
      <c r="B8" s="55">
        <v>7038</v>
      </c>
      <c r="C8" s="55">
        <v>8491</v>
      </c>
      <c r="D8" s="55">
        <v>9650</v>
      </c>
      <c r="E8" s="55">
        <v>9570</v>
      </c>
      <c r="F8" s="56">
        <v>10345</v>
      </c>
      <c r="G8" s="57">
        <v>18800</v>
      </c>
      <c r="H8" s="57">
        <v>20633</v>
      </c>
      <c r="I8" s="57">
        <v>20866</v>
      </c>
      <c r="J8" s="57">
        <v>20574</v>
      </c>
      <c r="K8" s="58">
        <v>19819</v>
      </c>
      <c r="L8" s="59">
        <v>3145</v>
      </c>
      <c r="M8" s="59">
        <v>2646</v>
      </c>
      <c r="N8" s="59">
        <v>2835</v>
      </c>
      <c r="O8" s="59">
        <v>2477</v>
      </c>
      <c r="P8" s="59">
        <v>1432.1890000000001</v>
      </c>
    </row>
    <row r="9" spans="1:16" ht="17">
      <c r="A9" s="54" t="s">
        <v>10</v>
      </c>
      <c r="B9" s="55">
        <v>0</v>
      </c>
      <c r="C9" s="55">
        <v>0</v>
      </c>
      <c r="D9" s="55">
        <v>0</v>
      </c>
      <c r="E9" s="55">
        <v>0</v>
      </c>
      <c r="F9" s="56">
        <v>0</v>
      </c>
      <c r="G9" s="57">
        <v>0</v>
      </c>
      <c r="H9" s="57">
        <v>0</v>
      </c>
      <c r="I9" s="57">
        <v>0</v>
      </c>
      <c r="J9" s="57">
        <v>0</v>
      </c>
      <c r="K9" s="58">
        <v>0</v>
      </c>
      <c r="L9" s="59">
        <v>0</v>
      </c>
      <c r="M9" s="59">
        <v>0</v>
      </c>
      <c r="N9" s="59">
        <v>0</v>
      </c>
      <c r="O9" s="59">
        <v>0</v>
      </c>
      <c r="P9" s="59">
        <v>0</v>
      </c>
    </row>
    <row r="10" spans="1:16" ht="17">
      <c r="A10" s="54" t="s">
        <v>85</v>
      </c>
      <c r="B10" s="55"/>
      <c r="C10" s="55"/>
      <c r="D10" s="55"/>
      <c r="E10" s="55"/>
      <c r="F10" s="56"/>
      <c r="G10" s="57"/>
      <c r="H10" s="57"/>
      <c r="I10" s="57"/>
      <c r="J10" s="57"/>
      <c r="K10" s="58"/>
      <c r="L10" s="59">
        <v>0</v>
      </c>
      <c r="M10" s="59">
        <v>149</v>
      </c>
      <c r="N10" s="59">
        <v>135</v>
      </c>
      <c r="O10" s="59">
        <v>0</v>
      </c>
      <c r="P10" s="59">
        <v>0</v>
      </c>
    </row>
    <row r="11" spans="1:16" ht="17">
      <c r="A11" s="41" t="s">
        <v>11</v>
      </c>
      <c r="B11" s="42">
        <v>115851</v>
      </c>
      <c r="C11" s="42">
        <v>131756</v>
      </c>
      <c r="D11" s="42">
        <v>142604</v>
      </c>
      <c r="E11" s="42">
        <v>136927</v>
      </c>
      <c r="F11" s="43">
        <v>140498</v>
      </c>
      <c r="G11" s="44">
        <v>131552</v>
      </c>
      <c r="H11" s="44">
        <v>155326</v>
      </c>
      <c r="I11" s="44">
        <v>157135</v>
      </c>
      <c r="J11" s="44">
        <v>151895</v>
      </c>
      <c r="K11" s="45">
        <v>146014</v>
      </c>
      <c r="L11" s="46">
        <v>29542</v>
      </c>
      <c r="M11" s="46">
        <v>24647</v>
      </c>
      <c r="N11" s="46">
        <v>21849</v>
      </c>
      <c r="O11" s="46">
        <v>13391</v>
      </c>
      <c r="P11" s="46">
        <v>7667.4719999999998</v>
      </c>
    </row>
    <row r="12" spans="1:16" s="53" customFormat="1" ht="17">
      <c r="A12" s="47" t="s">
        <v>12</v>
      </c>
      <c r="B12" s="48">
        <f>B6-B8-B9</f>
        <v>6634</v>
      </c>
      <c r="C12" s="48">
        <f t="shared" ref="C12:F12" si="3">C6-C8-C9</f>
        <v>5481</v>
      </c>
      <c r="D12" s="48">
        <f t="shared" si="3"/>
        <v>4445</v>
      </c>
      <c r="E12" s="48">
        <f t="shared" si="3"/>
        <v>8661</v>
      </c>
      <c r="F12" s="49">
        <f t="shared" si="3"/>
        <v>8686</v>
      </c>
      <c r="G12" s="50">
        <f>G6-G8-B9</f>
        <v>-4408</v>
      </c>
      <c r="H12" s="50">
        <f t="shared" ref="H12:K12" si="4">H6-H8-C9</f>
        <v>574</v>
      </c>
      <c r="I12" s="50">
        <f t="shared" si="4"/>
        <v>3203</v>
      </c>
      <c r="J12" s="50">
        <f t="shared" si="4"/>
        <v>4881</v>
      </c>
      <c r="K12" s="51">
        <f t="shared" si="4"/>
        <v>5786</v>
      </c>
      <c r="L12" s="52">
        <f>L6-L8-L9-L7-L10</f>
        <v>1994</v>
      </c>
      <c r="M12" s="52">
        <f t="shared" ref="M12:P12" si="5">M6-M8-M9-M7-M10</f>
        <v>-69</v>
      </c>
      <c r="N12" s="52">
        <f t="shared" si="5"/>
        <v>-388</v>
      </c>
      <c r="O12" s="52">
        <f t="shared" si="5"/>
        <v>-1632</v>
      </c>
      <c r="P12" s="52">
        <f t="shared" si="5"/>
        <v>-667.34000000000049</v>
      </c>
    </row>
    <row r="13" spans="1:16" ht="17">
      <c r="A13" s="41" t="s">
        <v>13</v>
      </c>
      <c r="B13" s="42">
        <v>787</v>
      </c>
      <c r="C13" s="42">
        <v>687</v>
      </c>
      <c r="D13" s="42">
        <v>1941</v>
      </c>
      <c r="E13" s="42">
        <v>1070</v>
      </c>
      <c r="F13" s="43">
        <v>1040</v>
      </c>
      <c r="G13" s="44">
        <v>3292</v>
      </c>
      <c r="H13" s="44">
        <v>-1214</v>
      </c>
      <c r="I13" s="44">
        <v>1142</v>
      </c>
      <c r="J13" s="44">
        <v>3278</v>
      </c>
      <c r="K13" s="45">
        <v>998</v>
      </c>
      <c r="L13" s="46">
        <v>-840</v>
      </c>
      <c r="M13" s="46">
        <v>-596</v>
      </c>
      <c r="N13" s="46">
        <v>-617</v>
      </c>
      <c r="O13" s="46">
        <v>-577</v>
      </c>
      <c r="P13" s="46">
        <v>-79.007999999999996</v>
      </c>
    </row>
    <row r="14" spans="1:16" s="53" customFormat="1" ht="17">
      <c r="A14" s="47" t="s">
        <v>14</v>
      </c>
      <c r="B14" s="48">
        <f>B12+B13</f>
        <v>7421</v>
      </c>
      <c r="C14" s="48">
        <f t="shared" ref="C14:F14" si="6">C12+C13</f>
        <v>6168</v>
      </c>
      <c r="D14" s="48">
        <f t="shared" si="6"/>
        <v>6386</v>
      </c>
      <c r="E14" s="48">
        <f t="shared" si="6"/>
        <v>9731</v>
      </c>
      <c r="F14" s="49">
        <f t="shared" si="6"/>
        <v>9726</v>
      </c>
      <c r="G14" s="50">
        <f>G12+G13</f>
        <v>-1116</v>
      </c>
      <c r="H14" s="50">
        <f t="shared" ref="H14:K14" si="7">H12+H13</f>
        <v>-640</v>
      </c>
      <c r="I14" s="50">
        <f t="shared" si="7"/>
        <v>4345</v>
      </c>
      <c r="J14" s="50">
        <f t="shared" si="7"/>
        <v>8159</v>
      </c>
      <c r="K14" s="51">
        <f t="shared" si="7"/>
        <v>6784</v>
      </c>
      <c r="L14" s="52">
        <f>L12+L13</f>
        <v>1154</v>
      </c>
      <c r="M14" s="52">
        <f t="shared" ref="M14:P14" si="8">M12+M13</f>
        <v>-665</v>
      </c>
      <c r="N14" s="52">
        <f t="shared" si="8"/>
        <v>-1005</v>
      </c>
      <c r="O14" s="52">
        <f t="shared" si="8"/>
        <v>-2209</v>
      </c>
      <c r="P14" s="52">
        <f t="shared" si="8"/>
        <v>-746.34800000000052</v>
      </c>
    </row>
    <row r="15" spans="1:16" ht="17">
      <c r="A15" s="41" t="s">
        <v>15</v>
      </c>
      <c r="B15" s="42">
        <v>1774</v>
      </c>
      <c r="C15" s="42">
        <v>769</v>
      </c>
      <c r="D15" s="42">
        <v>474</v>
      </c>
      <c r="E15" s="42">
        <v>11533</v>
      </c>
      <c r="F15" s="43">
        <v>2739</v>
      </c>
      <c r="G15" s="44">
        <v>160</v>
      </c>
      <c r="H15" s="44">
        <v>-724</v>
      </c>
      <c r="I15" s="44">
        <v>650</v>
      </c>
      <c r="J15" s="44">
        <v>402</v>
      </c>
      <c r="K15" s="45">
        <v>2184</v>
      </c>
      <c r="L15" s="46">
        <v>292</v>
      </c>
      <c r="M15" s="46"/>
      <c r="N15" s="46">
        <v>58</v>
      </c>
      <c r="O15" s="46">
        <v>32</v>
      </c>
      <c r="P15" s="46">
        <v>26.698</v>
      </c>
    </row>
    <row r="16" spans="1:16" s="53" customFormat="1" ht="17">
      <c r="A16" s="47" t="s">
        <v>16</v>
      </c>
      <c r="B16" s="48">
        <f t="shared" ref="B16:E16" si="9">B14-B15</f>
        <v>5647</v>
      </c>
      <c r="C16" s="48">
        <f t="shared" si="9"/>
        <v>5399</v>
      </c>
      <c r="D16" s="48">
        <f t="shared" si="9"/>
        <v>5912</v>
      </c>
      <c r="E16" s="48">
        <f t="shared" si="9"/>
        <v>-1802</v>
      </c>
      <c r="F16" s="49">
        <f>F14-F15</f>
        <v>6987</v>
      </c>
      <c r="G16" s="50">
        <f>G14-G15</f>
        <v>-1276</v>
      </c>
      <c r="H16" s="50">
        <f t="shared" ref="H16:K16" si="10">H14-H15</f>
        <v>84</v>
      </c>
      <c r="I16" s="50">
        <f t="shared" si="10"/>
        <v>3695</v>
      </c>
      <c r="J16" s="50">
        <f t="shared" si="10"/>
        <v>7757</v>
      </c>
      <c r="K16" s="51">
        <f t="shared" si="10"/>
        <v>4600</v>
      </c>
      <c r="L16" s="52">
        <f>L14-L15</f>
        <v>862</v>
      </c>
      <c r="M16" s="52">
        <f t="shared" ref="M16:P16" si="11">M14-M15</f>
        <v>-665</v>
      </c>
      <c r="N16" s="52">
        <f t="shared" si="11"/>
        <v>-1063</v>
      </c>
      <c r="O16" s="52">
        <f t="shared" si="11"/>
        <v>-2241</v>
      </c>
      <c r="P16" s="52">
        <f t="shared" si="11"/>
        <v>-773.0460000000005</v>
      </c>
    </row>
    <row r="17" spans="1:16" ht="17">
      <c r="A17" s="54" t="s">
        <v>76</v>
      </c>
      <c r="B17" s="55">
        <f>B18-B16</f>
        <v>674</v>
      </c>
      <c r="C17" s="55">
        <f t="shared" ref="C17:E17" si="12">C18-C16</f>
        <v>1268</v>
      </c>
      <c r="D17" s="55">
        <f t="shared" si="12"/>
        <v>2163</v>
      </c>
      <c r="E17" s="55">
        <f t="shared" si="12"/>
        <v>2132</v>
      </c>
      <c r="F17" s="56">
        <v>9269</v>
      </c>
      <c r="G17" s="57">
        <v>0</v>
      </c>
      <c r="H17" s="57">
        <v>0</v>
      </c>
      <c r="I17" s="57">
        <v>0</v>
      </c>
      <c r="J17" s="57">
        <v>0</v>
      </c>
      <c r="K17" s="58">
        <v>0</v>
      </c>
      <c r="L17" s="59">
        <v>0</v>
      </c>
      <c r="M17" s="59">
        <v>0</v>
      </c>
      <c r="N17" s="59">
        <v>0</v>
      </c>
      <c r="O17" s="59">
        <v>0</v>
      </c>
      <c r="P17" s="59">
        <v>0</v>
      </c>
    </row>
    <row r="18" spans="1:16" s="53" customFormat="1">
      <c r="A18" s="60" t="s">
        <v>17</v>
      </c>
      <c r="B18" s="61">
        <v>6321</v>
      </c>
      <c r="C18" s="61">
        <v>6667</v>
      </c>
      <c r="D18" s="61">
        <v>8075</v>
      </c>
      <c r="E18" s="36">
        <v>330</v>
      </c>
      <c r="F18" s="37">
        <v>9269</v>
      </c>
      <c r="G18" s="62">
        <f>G16+G17</f>
        <v>-1276</v>
      </c>
      <c r="H18" s="62">
        <f t="shared" ref="H18:I18" si="13">H16+H17</f>
        <v>84</v>
      </c>
      <c r="I18" s="62">
        <f t="shared" si="13"/>
        <v>3695</v>
      </c>
      <c r="J18" s="62">
        <v>7757</v>
      </c>
      <c r="K18" s="63">
        <v>4600</v>
      </c>
      <c r="L18" s="64">
        <f>L16+L17</f>
        <v>862</v>
      </c>
      <c r="M18" s="64">
        <f t="shared" ref="M18:P18" si="14">M16+M17</f>
        <v>-665</v>
      </c>
      <c r="N18" s="64">
        <f t="shared" si="14"/>
        <v>-1063</v>
      </c>
      <c r="O18" s="64">
        <f t="shared" si="14"/>
        <v>-2241</v>
      </c>
      <c r="P18" s="64">
        <f t="shared" si="14"/>
        <v>-773.0460000000005</v>
      </c>
    </row>
    <row r="19" spans="1:16" ht="17">
      <c r="A19" s="54" t="s">
        <v>18</v>
      </c>
      <c r="B19" s="55">
        <v>0</v>
      </c>
      <c r="C19" s="55">
        <v>0</v>
      </c>
      <c r="D19" s="55">
        <v>-70</v>
      </c>
      <c r="E19" s="55">
        <v>-4212</v>
      </c>
      <c r="F19" s="56">
        <v>-1</v>
      </c>
      <c r="G19" s="57">
        <v>0</v>
      </c>
      <c r="H19" s="57">
        <v>0</v>
      </c>
      <c r="I19" s="57">
        <v>0</v>
      </c>
      <c r="J19" s="57">
        <v>0</v>
      </c>
      <c r="K19" s="58">
        <v>0</v>
      </c>
      <c r="L19" s="59">
        <v>0</v>
      </c>
      <c r="M19" s="59">
        <v>0</v>
      </c>
      <c r="N19" s="59">
        <v>0</v>
      </c>
      <c r="O19" s="59">
        <v>0</v>
      </c>
      <c r="P19" s="59">
        <v>0</v>
      </c>
    </row>
    <row r="20" spans="1:16" ht="17">
      <c r="A20" s="54" t="s">
        <v>75</v>
      </c>
      <c r="B20" s="55">
        <f>B18-B22+B19</f>
        <v>-106</v>
      </c>
      <c r="C20" s="55">
        <f t="shared" ref="C20:E20" si="15">C18-C22+C19</f>
        <v>-65</v>
      </c>
      <c r="D20" s="55">
        <f t="shared" si="15"/>
        <v>-9</v>
      </c>
      <c r="E20" s="55">
        <f t="shared" si="15"/>
        <v>-18</v>
      </c>
      <c r="F20" s="56">
        <f>F18-F22+F19</f>
        <v>-159</v>
      </c>
      <c r="G20" s="57">
        <f>G18-G22</f>
        <v>3</v>
      </c>
      <c r="H20" s="57">
        <f t="shared" ref="H20:K20" si="16">H18-H22</f>
        <v>37</v>
      </c>
      <c r="I20" s="57">
        <f t="shared" si="16"/>
        <v>18</v>
      </c>
      <c r="J20" s="57">
        <f t="shared" si="16"/>
        <v>26</v>
      </c>
      <c r="K20" s="58">
        <f t="shared" si="16"/>
        <v>11</v>
      </c>
      <c r="L20" s="59">
        <v>141</v>
      </c>
      <c r="M20" s="59">
        <v>87</v>
      </c>
      <c r="N20" s="59">
        <v>-279</v>
      </c>
      <c r="O20" s="59">
        <v>-98</v>
      </c>
      <c r="P20" s="59">
        <f>P22-P7</f>
        <v>-1509.4079999999999</v>
      </c>
    </row>
    <row r="21" spans="1:16" ht="17">
      <c r="A21" s="54" t="s">
        <v>84</v>
      </c>
      <c r="B21" s="55"/>
      <c r="C21" s="55"/>
      <c r="D21" s="55"/>
      <c r="E21" s="55"/>
      <c r="F21" s="56"/>
      <c r="G21" s="57"/>
      <c r="H21" s="57"/>
      <c r="I21" s="57"/>
      <c r="J21" s="57"/>
      <c r="K21" s="58"/>
      <c r="L21" s="59">
        <f>L18-L22-L20</f>
        <v>31</v>
      </c>
      <c r="M21" s="59">
        <f t="shared" ref="M21:P21" si="17">M18-M22-M20</f>
        <v>118</v>
      </c>
      <c r="N21" s="59">
        <f t="shared" si="17"/>
        <v>192</v>
      </c>
      <c r="O21" s="59">
        <f t="shared" si="17"/>
        <v>-181</v>
      </c>
      <c r="P21" s="59">
        <f t="shared" si="17"/>
        <v>1411.3619999999994</v>
      </c>
    </row>
    <row r="22" spans="1:16" s="53" customFormat="1" ht="17">
      <c r="A22" s="35" t="s">
        <v>77</v>
      </c>
      <c r="B22" s="61">
        <v>6427</v>
      </c>
      <c r="C22" s="61">
        <v>6732</v>
      </c>
      <c r="D22" s="61">
        <v>8014</v>
      </c>
      <c r="E22" s="61">
        <v>-3864</v>
      </c>
      <c r="F22" s="65">
        <v>9427</v>
      </c>
      <c r="G22" s="62">
        <v>-1279</v>
      </c>
      <c r="H22" s="62">
        <v>47</v>
      </c>
      <c r="I22" s="62">
        <v>3677</v>
      </c>
      <c r="J22" s="62">
        <v>7731</v>
      </c>
      <c r="K22" s="63">
        <v>4589</v>
      </c>
      <c r="L22" s="64">
        <v>690</v>
      </c>
      <c r="M22" s="64">
        <v>-870</v>
      </c>
      <c r="N22" s="64">
        <v>-976</v>
      </c>
      <c r="O22" s="64">
        <v>-1962</v>
      </c>
      <c r="P22" s="64">
        <v>-675</v>
      </c>
    </row>
    <row r="23" spans="1:16" ht="17">
      <c r="A23" s="54" t="s">
        <v>79</v>
      </c>
      <c r="B23" s="66">
        <f>B22-B24</f>
        <v>180</v>
      </c>
      <c r="C23" s="66">
        <f t="shared" ref="C23:F23" si="18">C22-C24</f>
        <v>151</v>
      </c>
      <c r="D23" s="66">
        <f t="shared" si="18"/>
        <v>98</v>
      </c>
      <c r="E23" s="66">
        <f t="shared" si="18"/>
        <v>16</v>
      </c>
      <c r="F23" s="19">
        <f t="shared" si="18"/>
        <v>0</v>
      </c>
      <c r="G23" s="10">
        <v>0</v>
      </c>
      <c r="H23" s="10">
        <v>0</v>
      </c>
      <c r="I23" s="10">
        <v>0</v>
      </c>
      <c r="J23" s="10">
        <v>0</v>
      </c>
      <c r="K23" s="11">
        <v>0</v>
      </c>
      <c r="L23" s="67">
        <v>0</v>
      </c>
      <c r="M23" s="67">
        <v>0</v>
      </c>
      <c r="N23" s="67">
        <v>0</v>
      </c>
      <c r="O23" s="67">
        <v>0</v>
      </c>
      <c r="P23" s="67">
        <v>0</v>
      </c>
    </row>
    <row r="24" spans="1:16" s="53" customFormat="1" ht="17">
      <c r="A24" s="35" t="s">
        <v>78</v>
      </c>
      <c r="B24" s="61">
        <v>6247</v>
      </c>
      <c r="C24" s="61">
        <v>6581</v>
      </c>
      <c r="D24" s="61">
        <v>7916</v>
      </c>
      <c r="E24" s="61">
        <v>-3880</v>
      </c>
      <c r="F24" s="65">
        <v>9427</v>
      </c>
      <c r="G24" s="62">
        <f>G22</f>
        <v>-1279</v>
      </c>
      <c r="H24" s="62">
        <f t="shared" ref="H24:J24" si="19">H22</f>
        <v>47</v>
      </c>
      <c r="I24" s="62">
        <f t="shared" si="19"/>
        <v>3677</v>
      </c>
      <c r="J24" s="62">
        <f t="shared" si="19"/>
        <v>7731</v>
      </c>
      <c r="K24" s="63">
        <f>K22</f>
        <v>4589</v>
      </c>
      <c r="L24" s="64">
        <f>L22</f>
        <v>690</v>
      </c>
      <c r="M24" s="64">
        <f t="shared" ref="M24:P24" si="20">M22</f>
        <v>-870</v>
      </c>
      <c r="N24" s="64">
        <f t="shared" si="20"/>
        <v>-976</v>
      </c>
      <c r="O24" s="64">
        <f t="shared" si="20"/>
        <v>-1962</v>
      </c>
      <c r="P24" s="64">
        <f t="shared" si="20"/>
        <v>-675</v>
      </c>
    </row>
    <row r="25" spans="1:16" s="53" customFormat="1" ht="17">
      <c r="A25" s="35" t="s">
        <v>19</v>
      </c>
      <c r="B25" s="36">
        <v>19449</v>
      </c>
      <c r="C25" s="36">
        <v>19599</v>
      </c>
      <c r="D25" s="36">
        <v>18114</v>
      </c>
      <c r="E25" s="36">
        <v>20922</v>
      </c>
      <c r="F25" s="37">
        <v>18505</v>
      </c>
      <c r="G25" s="38">
        <v>3049</v>
      </c>
      <c r="H25" s="38">
        <v>9064</v>
      </c>
      <c r="I25" s="38">
        <v>11616</v>
      </c>
      <c r="J25" s="38">
        <v>13453</v>
      </c>
      <c r="K25" s="39">
        <v>14503</v>
      </c>
      <c r="L25" s="40">
        <v>4496</v>
      </c>
      <c r="M25" s="40">
        <v>2273</v>
      </c>
      <c r="N25" s="40">
        <v>1672</v>
      </c>
      <c r="O25" s="40">
        <v>95</v>
      </c>
      <c r="P25" s="40">
        <v>374.44900000000001</v>
      </c>
    </row>
    <row r="26" spans="1:16" ht="17">
      <c r="A26" s="54" t="s">
        <v>20</v>
      </c>
      <c r="B26" s="55">
        <v>1433</v>
      </c>
      <c r="C26" s="55">
        <v>1424</v>
      </c>
      <c r="D26" s="55">
        <v>1411</v>
      </c>
      <c r="E26" s="55">
        <v>1465</v>
      </c>
      <c r="F26" s="56">
        <v>1540</v>
      </c>
      <c r="G26" s="57">
        <v>3973</v>
      </c>
      <c r="H26" s="57">
        <v>3972</v>
      </c>
      <c r="I26" s="57">
        <v>3974</v>
      </c>
      <c r="J26" s="57">
        <v>3975</v>
      </c>
      <c r="K26" s="58">
        <v>3973</v>
      </c>
      <c r="L26" s="59">
        <v>933</v>
      </c>
      <c r="M26" s="59">
        <v>887</v>
      </c>
      <c r="N26" s="59">
        <v>853</v>
      </c>
      <c r="O26" s="59">
        <v>830</v>
      </c>
      <c r="P26" s="59">
        <v>721</v>
      </c>
    </row>
    <row r="27" spans="1:16" ht="17">
      <c r="A27" s="54" t="s">
        <v>21</v>
      </c>
      <c r="B27" s="55">
        <v>1442</v>
      </c>
      <c r="C27" s="55">
        <v>1439</v>
      </c>
      <c r="D27" s="55">
        <v>1434</v>
      </c>
      <c r="E27" s="55">
        <v>1492</v>
      </c>
      <c r="F27" s="56">
        <v>1570</v>
      </c>
      <c r="G27" s="57">
        <v>3973</v>
      </c>
      <c r="H27" s="57">
        <v>4004</v>
      </c>
      <c r="I27" s="57">
        <v>3998</v>
      </c>
      <c r="J27" s="57">
        <v>3998</v>
      </c>
      <c r="K27" s="58">
        <v>3999</v>
      </c>
      <c r="L27" s="59">
        <v>1083</v>
      </c>
      <c r="M27" s="59">
        <v>887</v>
      </c>
      <c r="N27" s="59">
        <v>853</v>
      </c>
      <c r="O27" s="59">
        <v>830</v>
      </c>
      <c r="P27" s="59">
        <v>721</v>
      </c>
    </row>
    <row r="28" spans="1:16" s="53" customFormat="1" ht="17">
      <c r="A28" s="35" t="s">
        <v>22</v>
      </c>
      <c r="B28" s="36">
        <f>B24/B26</f>
        <v>4.3593859036985343</v>
      </c>
      <c r="C28" s="36">
        <f>C24/C26</f>
        <v>4.621488764044944</v>
      </c>
      <c r="D28" s="36">
        <f>D24/D26</f>
        <v>5.6102055279943306</v>
      </c>
      <c r="E28" s="36">
        <f>E24/E26</f>
        <v>-2.6484641638225255</v>
      </c>
      <c r="F28" s="37">
        <f>F24/F26</f>
        <v>6.121428571428571</v>
      </c>
      <c r="G28" s="38">
        <f t="shared" ref="G28:P28" si="21">G22/G26</f>
        <v>-0.32192298011578152</v>
      </c>
      <c r="H28" s="38">
        <f t="shared" si="21"/>
        <v>1.1832829808660624E-2</v>
      </c>
      <c r="I28" s="38">
        <f t="shared" si="21"/>
        <v>0.92526421741318565</v>
      </c>
      <c r="J28" s="38">
        <f t="shared" si="21"/>
        <v>1.9449056603773585</v>
      </c>
      <c r="K28" s="39">
        <f t="shared" si="21"/>
        <v>1.1550465643090864</v>
      </c>
      <c r="L28" s="40">
        <f t="shared" si="21"/>
        <v>0.73954983922829587</v>
      </c>
      <c r="M28" s="40">
        <f t="shared" si="21"/>
        <v>-0.98083427282976321</v>
      </c>
      <c r="N28" s="40">
        <f t="shared" si="21"/>
        <v>-1.1441969519343493</v>
      </c>
      <c r="O28" s="40">
        <f t="shared" si="21"/>
        <v>-2.3638554216867469</v>
      </c>
      <c r="P28" s="40">
        <f t="shared" si="21"/>
        <v>-0.93619972260748963</v>
      </c>
    </row>
    <row r="29" spans="1:16" s="53" customFormat="1" ht="17">
      <c r="A29" s="35" t="s">
        <v>23</v>
      </c>
      <c r="B29" s="36">
        <f>B24/B27</f>
        <v>4.3321775312066571</v>
      </c>
      <c r="C29" s="36">
        <f>C24/C27</f>
        <v>4.5733148019457959</v>
      </c>
      <c r="D29" s="36">
        <f>D24/D27</f>
        <v>5.5202231520223153</v>
      </c>
      <c r="E29" s="36">
        <f>E24/E27</f>
        <v>-2.6005361930294906</v>
      </c>
      <c r="F29" s="37">
        <f>F24/F27</f>
        <v>6.0044585987261145</v>
      </c>
      <c r="G29" s="38">
        <f t="shared" ref="G29:P29" si="22">G22/G27</f>
        <v>-0.32192298011578152</v>
      </c>
      <c r="H29" s="38">
        <f t="shared" si="22"/>
        <v>1.1738261738261738E-2</v>
      </c>
      <c r="I29" s="38">
        <f t="shared" si="22"/>
        <v>0.91970985492746371</v>
      </c>
      <c r="J29" s="38">
        <f t="shared" si="22"/>
        <v>1.9337168584292146</v>
      </c>
      <c r="K29" s="39">
        <f t="shared" si="22"/>
        <v>1.1475368842210552</v>
      </c>
      <c r="L29" s="40">
        <f t="shared" si="22"/>
        <v>0.63711911357340723</v>
      </c>
      <c r="M29" s="40">
        <f t="shared" si="22"/>
        <v>-0.98083427282976321</v>
      </c>
      <c r="N29" s="40">
        <f t="shared" si="22"/>
        <v>-1.1441969519343493</v>
      </c>
      <c r="O29" s="40">
        <f t="shared" si="22"/>
        <v>-2.3638554216867469</v>
      </c>
      <c r="P29" s="40">
        <f t="shared" si="22"/>
        <v>-0.93619972260748963</v>
      </c>
    </row>
    <row r="30" spans="1:16" s="53" customFormat="1" ht="17">
      <c r="A30" s="35" t="s">
        <v>129</v>
      </c>
      <c r="B30" s="36">
        <f>B4/B27</f>
        <v>84.941054091539527</v>
      </c>
      <c r="C30" s="36">
        <f t="shared" ref="C30:F30" si="23">C4/C27</f>
        <v>95.369701181375959</v>
      </c>
      <c r="D30" s="36">
        <f t="shared" si="23"/>
        <v>102.54463040446304</v>
      </c>
      <c r="E30" s="36">
        <f t="shared" si="23"/>
        <v>97.579088471849872</v>
      </c>
      <c r="F30" s="37">
        <f t="shared" si="23"/>
        <v>95.021656050955414</v>
      </c>
      <c r="G30" s="38">
        <f>G4/G27</f>
        <v>32.002013591744273</v>
      </c>
      <c r="H30" s="38">
        <f t="shared" ref="H30:K30" si="24">H4/H27</f>
        <v>38.936063936063938</v>
      </c>
      <c r="I30" s="38">
        <f t="shared" si="24"/>
        <v>40.104552276138072</v>
      </c>
      <c r="J30" s="38">
        <f t="shared" si="24"/>
        <v>39.213606803401703</v>
      </c>
      <c r="K30" s="39">
        <f t="shared" si="24"/>
        <v>37.959489872468119</v>
      </c>
      <c r="L30" s="40">
        <f>L4/L27</f>
        <v>29.119113573407201</v>
      </c>
      <c r="M30" s="40">
        <f t="shared" ref="M30:P30" si="25">M4/M27</f>
        <v>27.709131905298761</v>
      </c>
      <c r="N30" s="40">
        <f t="shared" si="25"/>
        <v>25.159437280187575</v>
      </c>
      <c r="O30" s="40">
        <f t="shared" si="25"/>
        <v>14.167469879518073</v>
      </c>
      <c r="P30" s="40">
        <f t="shared" si="25"/>
        <v>9.7089209431345349</v>
      </c>
    </row>
    <row r="31" spans="1:16">
      <c r="A31" s="54"/>
      <c r="B31" s="55"/>
      <c r="C31" s="55"/>
      <c r="D31" s="55"/>
      <c r="E31" s="55"/>
      <c r="F31" s="56"/>
      <c r="G31" s="57"/>
      <c r="H31" s="57"/>
      <c r="I31" s="57"/>
      <c r="J31" s="57"/>
      <c r="K31" s="58"/>
      <c r="M31" s="59"/>
      <c r="N31" s="59"/>
      <c r="O31" s="59"/>
      <c r="P31" s="59"/>
    </row>
    <row r="32" spans="1:16" s="53" customFormat="1">
      <c r="A32" s="35"/>
      <c r="B32" s="36"/>
      <c r="C32" s="36"/>
      <c r="D32" s="36"/>
      <c r="E32" s="36"/>
      <c r="F32" s="37"/>
      <c r="G32" s="38"/>
      <c r="H32" s="38"/>
      <c r="I32" s="38"/>
      <c r="J32" s="38"/>
      <c r="K32" s="39"/>
      <c r="L32" s="40"/>
      <c r="M32" s="40"/>
      <c r="N32" s="40"/>
      <c r="O32" s="40"/>
      <c r="P32" s="40"/>
    </row>
    <row r="33" spans="1:16">
      <c r="A33" s="54"/>
      <c r="B33" s="55"/>
      <c r="C33" s="55"/>
      <c r="D33" s="55"/>
      <c r="E33" s="55"/>
      <c r="F33" s="56"/>
      <c r="G33" s="57"/>
      <c r="H33" s="57"/>
      <c r="I33" s="57"/>
      <c r="J33" s="57"/>
      <c r="K33" s="58"/>
      <c r="L33" s="59"/>
      <c r="M33" s="59"/>
      <c r="N33" s="59"/>
      <c r="O33" s="59"/>
      <c r="P33" s="59"/>
    </row>
    <row r="34" spans="1:16">
      <c r="A34" s="35"/>
      <c r="B34" s="55"/>
      <c r="C34" s="55"/>
      <c r="D34" s="55"/>
      <c r="E34" s="55"/>
      <c r="F34" s="56"/>
      <c r="G34" s="57"/>
      <c r="H34" s="57"/>
      <c r="I34" s="57"/>
      <c r="J34" s="57"/>
      <c r="K34" s="58"/>
      <c r="L34" s="59"/>
      <c r="M34" s="59"/>
      <c r="N34" s="59"/>
      <c r="O34" s="59"/>
      <c r="P34" s="59"/>
    </row>
    <row r="35" spans="1:16">
      <c r="A35" s="54"/>
      <c r="B35" s="55"/>
      <c r="C35" s="55"/>
      <c r="D35" s="55"/>
      <c r="E35" s="55"/>
      <c r="F35" s="56"/>
      <c r="G35" s="57"/>
      <c r="H35" s="57"/>
      <c r="I35" s="57"/>
      <c r="J35" s="57"/>
      <c r="K35" s="58"/>
      <c r="L35" s="59"/>
      <c r="M35" s="59"/>
      <c r="N35" s="59"/>
      <c r="O35" s="59"/>
      <c r="P35" s="59"/>
    </row>
    <row r="36" spans="1:16">
      <c r="A36" s="54"/>
      <c r="B36" s="55"/>
      <c r="C36" s="55"/>
      <c r="D36" s="55"/>
      <c r="E36" s="55"/>
      <c r="F36" s="56"/>
      <c r="G36" s="57"/>
      <c r="H36" s="57"/>
      <c r="I36" s="57"/>
      <c r="J36" s="57"/>
      <c r="K36" s="58"/>
      <c r="L36" s="59"/>
      <c r="M36" s="59"/>
      <c r="N36" s="59"/>
      <c r="O36" s="59"/>
      <c r="P36" s="59"/>
    </row>
    <row r="37" spans="1:16">
      <c r="A37" s="54"/>
      <c r="B37" s="55"/>
      <c r="C37" s="55"/>
      <c r="D37" s="55"/>
      <c r="E37" s="55"/>
      <c r="F37" s="56"/>
      <c r="G37" s="57"/>
      <c r="H37" s="57"/>
      <c r="I37" s="57"/>
      <c r="J37" s="57"/>
      <c r="K37" s="58"/>
      <c r="L37" s="59"/>
      <c r="M37" s="59"/>
      <c r="N37" s="59"/>
      <c r="O37" s="59"/>
      <c r="P37" s="59"/>
    </row>
    <row r="38" spans="1:16">
      <c r="A38" s="35"/>
      <c r="B38" s="55"/>
      <c r="C38" s="55"/>
      <c r="D38" s="55"/>
      <c r="E38" s="55"/>
      <c r="F38" s="56"/>
      <c r="G38" s="57"/>
      <c r="H38" s="57"/>
      <c r="I38" s="57"/>
      <c r="J38" s="57"/>
      <c r="K38" s="58"/>
      <c r="L38" s="59"/>
      <c r="M38" s="59"/>
      <c r="N38" s="59"/>
      <c r="O38" s="59"/>
      <c r="P38" s="59"/>
    </row>
    <row r="39" spans="1:16">
      <c r="A39" s="54"/>
      <c r="B39" s="55"/>
      <c r="C39" s="55"/>
      <c r="D39" s="55"/>
      <c r="E39" s="55"/>
      <c r="F39" s="56"/>
      <c r="G39" s="57"/>
      <c r="H39" s="57"/>
      <c r="I39" s="57"/>
      <c r="J39" s="57"/>
      <c r="K39" s="58"/>
      <c r="L39" s="59"/>
      <c r="M39" s="59"/>
      <c r="N39" s="59"/>
      <c r="O39" s="59"/>
      <c r="P39" s="59"/>
    </row>
    <row r="40" spans="1:16">
      <c r="A40" s="54"/>
      <c r="B40" s="55"/>
      <c r="C40" s="55"/>
      <c r="D40" s="55"/>
      <c r="E40" s="55"/>
      <c r="F40" s="56"/>
      <c r="G40" s="57"/>
      <c r="H40" s="57"/>
      <c r="I40" s="57"/>
      <c r="J40" s="57"/>
      <c r="K40" s="58"/>
      <c r="L40" s="59"/>
      <c r="M40" s="59"/>
      <c r="N40" s="59"/>
      <c r="O40" s="59"/>
      <c r="P40" s="59"/>
    </row>
    <row r="41" spans="1:16">
      <c r="A41" s="54"/>
      <c r="B41" s="55"/>
      <c r="C41" s="55"/>
      <c r="D41" s="55"/>
      <c r="E41" s="55"/>
      <c r="F41" s="56"/>
      <c r="G41" s="57"/>
      <c r="H41" s="57"/>
      <c r="I41" s="57"/>
      <c r="J41" s="57"/>
      <c r="K41" s="58"/>
      <c r="L41" s="59"/>
      <c r="M41" s="59"/>
      <c r="N41" s="59"/>
      <c r="O41" s="59"/>
      <c r="P41" s="59"/>
    </row>
    <row r="42" spans="1:16">
      <c r="A42" s="47"/>
      <c r="B42" s="68"/>
      <c r="C42" s="68"/>
      <c r="D42" s="68"/>
      <c r="E42" s="68"/>
      <c r="F42" s="69"/>
      <c r="G42" s="70"/>
      <c r="H42" s="70"/>
      <c r="I42" s="70"/>
      <c r="J42" s="70"/>
      <c r="K42" s="71"/>
      <c r="L42" s="72"/>
      <c r="M42" s="72"/>
      <c r="N42" s="72"/>
      <c r="O42" s="72"/>
      <c r="P42" s="72"/>
    </row>
    <row r="43" spans="1:16">
      <c r="A43" s="47"/>
      <c r="B43" s="68"/>
      <c r="C43" s="68"/>
      <c r="D43" s="68"/>
      <c r="E43" s="68"/>
      <c r="F43" s="69"/>
      <c r="G43" s="70"/>
      <c r="H43" s="70"/>
      <c r="I43" s="70"/>
      <c r="J43" s="70"/>
      <c r="K43" s="71"/>
      <c r="L43" s="72"/>
      <c r="M43" s="72"/>
      <c r="N43" s="72"/>
      <c r="O43" s="72"/>
      <c r="P43" s="72"/>
    </row>
    <row r="44" spans="1:16">
      <c r="A44" s="47"/>
      <c r="B44" s="68"/>
      <c r="C44" s="68"/>
      <c r="D44" s="68"/>
      <c r="E44" s="68"/>
      <c r="F44" s="69"/>
      <c r="G44" s="70"/>
      <c r="H44" s="70"/>
      <c r="I44" s="70"/>
      <c r="J44" s="70"/>
      <c r="K44" s="71"/>
      <c r="L44" s="72"/>
      <c r="M44" s="72"/>
      <c r="N44" s="72"/>
      <c r="O44" s="72"/>
      <c r="P44" s="72"/>
    </row>
    <row r="45" spans="1:16">
      <c r="A45" s="47"/>
      <c r="B45" s="73"/>
      <c r="C45" s="73"/>
      <c r="D45" s="73"/>
      <c r="E45" s="73"/>
      <c r="F45" s="74"/>
      <c r="G45" s="75"/>
      <c r="H45" s="75"/>
      <c r="I45" s="75"/>
      <c r="J45" s="75"/>
      <c r="K45" s="76"/>
      <c r="L45" s="77"/>
      <c r="M45" s="77"/>
      <c r="N45" s="77"/>
      <c r="O45" s="77"/>
      <c r="P45" s="77"/>
    </row>
    <row r="46" spans="1:16">
      <c r="A46" s="47"/>
      <c r="B46" s="73"/>
      <c r="C46" s="73"/>
      <c r="D46" s="73"/>
      <c r="E46" s="73"/>
      <c r="F46" s="74"/>
      <c r="G46" s="75"/>
      <c r="H46" s="75"/>
      <c r="I46" s="75"/>
      <c r="J46" s="75"/>
      <c r="K46" s="76"/>
      <c r="L46" s="77"/>
      <c r="M46" s="77"/>
      <c r="N46" s="77"/>
      <c r="O46" s="77"/>
      <c r="P46" s="77"/>
    </row>
    <row r="47" spans="1:16">
      <c r="A47" s="27"/>
      <c r="B47" s="78"/>
      <c r="C47" s="78"/>
      <c r="D47" s="78"/>
      <c r="E47" s="78"/>
      <c r="F47" s="79"/>
      <c r="G47" s="80"/>
      <c r="H47" s="80"/>
      <c r="I47" s="80"/>
      <c r="J47" s="80"/>
      <c r="K47" s="81"/>
      <c r="L47" s="82"/>
      <c r="M47" s="82"/>
      <c r="N47" s="82"/>
      <c r="O47" s="82"/>
      <c r="P47" s="82"/>
    </row>
    <row r="48" spans="1:16">
      <c r="A48" s="27"/>
      <c r="B48" s="78"/>
      <c r="C48" s="78"/>
      <c r="D48" s="78"/>
      <c r="E48" s="78"/>
      <c r="F48" s="79"/>
      <c r="G48" s="80"/>
      <c r="H48" s="80"/>
      <c r="I48" s="80"/>
      <c r="J48" s="80"/>
      <c r="K48" s="81"/>
      <c r="L48" s="82"/>
      <c r="M48" s="82"/>
      <c r="N48" s="82"/>
      <c r="O48" s="82"/>
      <c r="P48" s="82"/>
    </row>
    <row r="49" spans="1:16">
      <c r="A49" s="83"/>
      <c r="B49" s="66"/>
      <c r="C49" s="66"/>
      <c r="D49" s="66"/>
      <c r="E49" s="66"/>
      <c r="F49" s="19"/>
      <c r="G49" s="10"/>
      <c r="H49" s="10"/>
      <c r="I49" s="10"/>
      <c r="J49" s="10"/>
      <c r="K49" s="11"/>
      <c r="L49" s="67"/>
      <c r="M49" s="67"/>
      <c r="N49" s="67"/>
      <c r="O49" s="67"/>
      <c r="P49" s="67"/>
    </row>
    <row r="50" spans="1:16">
      <c r="A50" s="83"/>
      <c r="B50" s="66"/>
      <c r="C50" s="66"/>
      <c r="D50" s="66"/>
      <c r="E50" s="66"/>
      <c r="F50" s="19"/>
      <c r="G50" s="10"/>
      <c r="H50" s="10"/>
      <c r="I50" s="10"/>
      <c r="J50" s="10"/>
      <c r="K50" s="11"/>
      <c r="L50" s="67"/>
      <c r="M50" s="67"/>
      <c r="N50" s="67"/>
      <c r="O50" s="67"/>
      <c r="P50" s="67"/>
    </row>
    <row r="51" spans="1:16">
      <c r="A51" s="47"/>
      <c r="B51" s="68"/>
      <c r="C51" s="68"/>
      <c r="D51" s="68"/>
      <c r="E51" s="68"/>
      <c r="F51" s="69"/>
      <c r="G51" s="84"/>
      <c r="H51" s="84"/>
      <c r="I51" s="84"/>
      <c r="J51" s="70"/>
      <c r="K51" s="71"/>
      <c r="L51" s="72"/>
      <c r="M51" s="72"/>
      <c r="N51" s="72"/>
      <c r="O51" s="72"/>
      <c r="P51" s="72"/>
    </row>
    <row r="52" spans="1:16">
      <c r="A52" s="47"/>
      <c r="B52" s="68"/>
      <c r="C52" s="68"/>
      <c r="D52" s="68"/>
      <c r="E52" s="68"/>
      <c r="F52" s="69"/>
      <c r="G52" s="84"/>
      <c r="H52" s="84"/>
      <c r="I52" s="84"/>
      <c r="J52" s="70"/>
      <c r="K52" s="71"/>
      <c r="L52" s="72"/>
      <c r="M52" s="72"/>
      <c r="N52" s="72"/>
      <c r="O52" s="72"/>
      <c r="P52" s="72"/>
    </row>
  </sheetData>
  <mergeCells count="4">
    <mergeCell ref="B1:F1"/>
    <mergeCell ref="G1:K1"/>
    <mergeCell ref="L1:P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2"/>
  <sheetViews>
    <sheetView zoomScale="84" zoomScaleNormal="70" workbookViewId="0">
      <pane xSplit="1" ySplit="3" topLeftCell="B4" activePane="bottomRight" state="frozen"/>
      <selection pane="topRight" activeCell="B1" sqref="B1"/>
      <selection pane="bottomLeft" activeCell="A4" sqref="A4"/>
      <selection pane="bottomRight" activeCell="L13" sqref="L13"/>
    </sheetView>
  </sheetViews>
  <sheetFormatPr baseColWidth="10" defaultColWidth="8.83203125" defaultRowHeight="16"/>
  <cols>
    <col min="1" max="1" width="42.33203125" style="15" bestFit="1" customWidth="1"/>
    <col min="2" max="2" width="14.1640625" style="30" bestFit="1" customWidth="1"/>
    <col min="3" max="4" width="12.1640625" style="30" bestFit="1" customWidth="1"/>
    <col min="5" max="5" width="11" style="30" bestFit="1" customWidth="1"/>
    <col min="6" max="6" width="10.83203125" style="31" bestFit="1" customWidth="1"/>
    <col min="7" max="7" width="10.83203125" style="32" bestFit="1" customWidth="1"/>
    <col min="8" max="8" width="12" style="32" bestFit="1" customWidth="1"/>
    <col min="9" max="9" width="11.5" style="32" bestFit="1" customWidth="1"/>
    <col min="10" max="10" width="12" style="32" bestFit="1" customWidth="1"/>
    <col min="11" max="11" width="10.83203125" style="33" bestFit="1" customWidth="1"/>
    <col min="12" max="12" width="10.83203125" style="34" bestFit="1" customWidth="1"/>
    <col min="13" max="15" width="9.6640625" style="34" bestFit="1" customWidth="1"/>
    <col min="16" max="16" width="11.5" style="34" bestFit="1" customWidth="1"/>
    <col min="17" max="16384" width="8.83203125" style="26"/>
  </cols>
  <sheetData>
    <row r="1" spans="1:16" s="16" customFormat="1">
      <c r="A1" s="15"/>
      <c r="B1" s="395" t="s">
        <v>0</v>
      </c>
      <c r="C1" s="395"/>
      <c r="D1" s="395"/>
      <c r="E1" s="395"/>
      <c r="F1" s="395"/>
      <c r="G1" s="396" t="s">
        <v>1</v>
      </c>
      <c r="H1" s="396"/>
      <c r="I1" s="396"/>
      <c r="J1" s="396"/>
      <c r="K1" s="396"/>
      <c r="L1" s="397" t="s">
        <v>2</v>
      </c>
      <c r="M1" s="397"/>
      <c r="N1" s="397"/>
      <c r="O1" s="397"/>
      <c r="P1" s="397"/>
    </row>
    <row r="2" spans="1:16" s="16" customFormat="1">
      <c r="A2" s="398" t="s">
        <v>3</v>
      </c>
      <c r="B2" s="3">
        <v>2020</v>
      </c>
      <c r="C2" s="3">
        <v>2019</v>
      </c>
      <c r="D2" s="3">
        <v>2018</v>
      </c>
      <c r="E2" s="3">
        <v>2017</v>
      </c>
      <c r="F2" s="4">
        <v>2016</v>
      </c>
      <c r="G2" s="5">
        <v>2020</v>
      </c>
      <c r="H2" s="5">
        <v>2019</v>
      </c>
      <c r="I2" s="5">
        <v>2018</v>
      </c>
      <c r="J2" s="5">
        <v>2017</v>
      </c>
      <c r="K2" s="6">
        <v>2016</v>
      </c>
      <c r="L2" s="7">
        <v>2020</v>
      </c>
      <c r="M2" s="7">
        <v>2019</v>
      </c>
      <c r="N2" s="7">
        <v>2018</v>
      </c>
      <c r="O2" s="7">
        <v>2017</v>
      </c>
      <c r="P2" s="7">
        <v>2016</v>
      </c>
    </row>
    <row r="3" spans="1:16" s="16" customFormat="1">
      <c r="A3" s="398"/>
      <c r="B3" s="17" t="s">
        <v>4</v>
      </c>
      <c r="C3" s="8" t="s">
        <v>4</v>
      </c>
      <c r="D3" s="8" t="s">
        <v>4</v>
      </c>
      <c r="E3" s="8" t="s">
        <v>4</v>
      </c>
      <c r="F3" s="9" t="s">
        <v>4</v>
      </c>
      <c r="G3" s="10" t="s">
        <v>4</v>
      </c>
      <c r="H3" s="10" t="s">
        <v>4</v>
      </c>
      <c r="I3" s="10" t="s">
        <v>4</v>
      </c>
      <c r="J3" s="10" t="s">
        <v>4</v>
      </c>
      <c r="K3" s="11" t="s">
        <v>4</v>
      </c>
      <c r="L3" s="12" t="s">
        <v>4</v>
      </c>
      <c r="M3" s="12" t="s">
        <v>4</v>
      </c>
      <c r="N3" s="12" t="s">
        <v>4</v>
      </c>
      <c r="O3" s="12" t="s">
        <v>4</v>
      </c>
      <c r="P3" s="12" t="s">
        <v>4</v>
      </c>
    </row>
    <row r="4" spans="1:16" s="16" customFormat="1">
      <c r="A4" s="15" t="s">
        <v>50</v>
      </c>
      <c r="B4" s="18">
        <v>6321</v>
      </c>
      <c r="C4" s="18">
        <v>6667</v>
      </c>
      <c r="D4" s="18">
        <v>8075</v>
      </c>
      <c r="E4" s="18">
        <v>330</v>
      </c>
      <c r="F4" s="19">
        <v>9269</v>
      </c>
      <c r="G4" s="10">
        <v>-1276</v>
      </c>
      <c r="H4" s="10">
        <v>84</v>
      </c>
      <c r="I4" s="10">
        <v>3695</v>
      </c>
      <c r="J4" s="10">
        <v>7757</v>
      </c>
      <c r="K4" s="11">
        <v>4600</v>
      </c>
      <c r="L4" s="20">
        <v>862</v>
      </c>
      <c r="M4" s="20">
        <v>-775</v>
      </c>
      <c r="N4" s="20">
        <v>-1063</v>
      </c>
      <c r="O4" s="20">
        <v>-2241</v>
      </c>
      <c r="P4" s="20">
        <v>-773.07600000000002</v>
      </c>
    </row>
    <row r="5" spans="1:16">
      <c r="A5" s="15" t="s">
        <v>51</v>
      </c>
      <c r="B5" s="18">
        <v>12815</v>
      </c>
      <c r="C5" s="21">
        <v>14118</v>
      </c>
      <c r="D5" s="21">
        <v>13669</v>
      </c>
      <c r="E5" s="21">
        <v>12261</v>
      </c>
      <c r="F5" s="22">
        <v>9819</v>
      </c>
      <c r="G5" s="23">
        <v>7457</v>
      </c>
      <c r="H5" s="23">
        <v>8490</v>
      </c>
      <c r="I5" s="23">
        <v>8413</v>
      </c>
      <c r="J5" s="23">
        <v>8572</v>
      </c>
      <c r="K5" s="24">
        <v>8717</v>
      </c>
      <c r="L5" s="25">
        <v>2502</v>
      </c>
      <c r="M5" s="25">
        <v>2342</v>
      </c>
      <c r="N5" s="25">
        <v>2060</v>
      </c>
      <c r="O5" s="25">
        <v>1727</v>
      </c>
      <c r="P5" s="25">
        <v>1041.789</v>
      </c>
    </row>
    <row r="6" spans="1:16">
      <c r="A6" s="15" t="s">
        <v>52</v>
      </c>
      <c r="B6" s="18">
        <v>36</v>
      </c>
      <c r="C6" s="21">
        <v>-1102</v>
      </c>
      <c r="D6" s="21">
        <v>-3434</v>
      </c>
      <c r="E6" s="21">
        <v>8220</v>
      </c>
      <c r="F6" s="22">
        <v>-2167</v>
      </c>
      <c r="G6" s="23">
        <v>-668</v>
      </c>
      <c r="H6" s="23">
        <v>2820</v>
      </c>
      <c r="I6" s="23">
        <v>1591</v>
      </c>
      <c r="J6" s="23">
        <v>-284</v>
      </c>
      <c r="K6" s="24">
        <v>3539</v>
      </c>
      <c r="L6" s="25">
        <v>2395</v>
      </c>
      <c r="M6" s="25">
        <v>1187</v>
      </c>
      <c r="N6" s="25">
        <v>1043</v>
      </c>
      <c r="O6" s="25">
        <v>950</v>
      </c>
      <c r="P6" s="25">
        <v>301.28899999999999</v>
      </c>
    </row>
    <row r="7" spans="1:16">
      <c r="A7" s="15" t="s">
        <v>53</v>
      </c>
      <c r="B7" s="18">
        <v>12851</v>
      </c>
      <c r="C7" s="21">
        <v>13016</v>
      </c>
      <c r="D7" s="21">
        <v>10235</v>
      </c>
      <c r="E7" s="21">
        <v>20481</v>
      </c>
      <c r="F7" s="22">
        <v>7652</v>
      </c>
      <c r="G7" s="23">
        <v>6789</v>
      </c>
      <c r="H7" s="23">
        <v>11310</v>
      </c>
      <c r="I7" s="23">
        <v>10004</v>
      </c>
      <c r="J7" s="23">
        <v>8288</v>
      </c>
      <c r="K7" s="24">
        <v>12256</v>
      </c>
      <c r="L7" s="25">
        <v>4897</v>
      </c>
      <c r="M7" s="25">
        <v>3529</v>
      </c>
      <c r="N7" s="25">
        <v>3103</v>
      </c>
      <c r="O7" s="25">
        <v>2677</v>
      </c>
      <c r="P7" s="25">
        <v>1343.078</v>
      </c>
    </row>
    <row r="8" spans="1:16">
      <c r="A8" s="15" t="s">
        <v>54</v>
      </c>
      <c r="B8" s="18">
        <v>-1341</v>
      </c>
      <c r="C8" s="21">
        <v>-563</v>
      </c>
      <c r="D8" s="21">
        <v>492</v>
      </c>
      <c r="E8" s="21">
        <v>1402</v>
      </c>
      <c r="F8" s="22">
        <v>-1249</v>
      </c>
      <c r="G8" s="23">
        <v>12041</v>
      </c>
      <c r="H8" s="23">
        <v>738</v>
      </c>
      <c r="I8" s="23">
        <v>-4647</v>
      </c>
      <c r="J8" s="23">
        <v>-3133</v>
      </c>
      <c r="K8" s="24">
        <v>-2855</v>
      </c>
      <c r="L8" s="25">
        <v>-652</v>
      </c>
      <c r="M8" s="25">
        <v>-367</v>
      </c>
      <c r="N8" s="25">
        <v>-497</v>
      </c>
      <c r="O8" s="25">
        <v>-25</v>
      </c>
      <c r="P8" s="25">
        <v>-216.565</v>
      </c>
    </row>
    <row r="9" spans="1:16">
      <c r="A9" s="15" t="s">
        <v>55</v>
      </c>
      <c r="B9" s="18">
        <v>-104</v>
      </c>
      <c r="C9" s="21">
        <v>-761</v>
      </c>
      <c r="D9" s="21">
        <v>399</v>
      </c>
      <c r="E9" s="21">
        <v>440</v>
      </c>
      <c r="F9" s="22">
        <v>-75</v>
      </c>
      <c r="G9" s="23">
        <v>148</v>
      </c>
      <c r="H9" s="23">
        <v>206</v>
      </c>
      <c r="I9" s="23">
        <v>-828</v>
      </c>
      <c r="J9" s="23">
        <v>-970</v>
      </c>
      <c r="K9" s="24">
        <v>-803</v>
      </c>
      <c r="L9" s="25">
        <v>-422</v>
      </c>
      <c r="M9" s="25">
        <v>-429</v>
      </c>
      <c r="N9" s="25">
        <v>-1023</v>
      </c>
      <c r="O9" s="25">
        <v>-179</v>
      </c>
      <c r="P9" s="25">
        <v>-632.86699999999996</v>
      </c>
    </row>
    <row r="10" spans="1:16">
      <c r="A10" s="15" t="s">
        <v>56</v>
      </c>
      <c r="B10" s="18">
        <v>42</v>
      </c>
      <c r="C10" s="21">
        <v>-492</v>
      </c>
      <c r="D10" s="21">
        <v>-537</v>
      </c>
      <c r="E10" s="21">
        <v>-362</v>
      </c>
      <c r="F10" s="22">
        <v>3195</v>
      </c>
      <c r="G10" s="23">
        <v>6809</v>
      </c>
      <c r="H10" s="23">
        <v>5260</v>
      </c>
      <c r="I10" s="23">
        <v>6781</v>
      </c>
      <c r="J10" s="23">
        <v>6089</v>
      </c>
      <c r="K10" s="24">
        <v>6595</v>
      </c>
      <c r="L10" s="25">
        <v>0</v>
      </c>
      <c r="M10" s="25">
        <v>0</v>
      </c>
      <c r="N10" s="25">
        <v>0</v>
      </c>
      <c r="O10" s="25">
        <v>0</v>
      </c>
      <c r="P10" s="25">
        <v>0</v>
      </c>
    </row>
    <row r="11" spans="1:16">
      <c r="A11" s="15" t="s">
        <v>57</v>
      </c>
      <c r="B11" s="18">
        <v>2865</v>
      </c>
      <c r="C11" s="21">
        <v>-613</v>
      </c>
      <c r="D11" s="21">
        <v>-2387</v>
      </c>
      <c r="E11" s="21">
        <v>-2254</v>
      </c>
      <c r="F11" s="22">
        <v>-2338</v>
      </c>
      <c r="G11" s="23">
        <v>-242</v>
      </c>
      <c r="H11" s="23">
        <v>41</v>
      </c>
      <c r="I11" s="23">
        <v>17</v>
      </c>
      <c r="J11" s="23">
        <v>65</v>
      </c>
      <c r="K11" s="24">
        <v>57</v>
      </c>
      <c r="L11" s="25">
        <v>-844</v>
      </c>
      <c r="M11" s="25">
        <v>-199</v>
      </c>
      <c r="N11" s="25">
        <v>-219</v>
      </c>
      <c r="O11" s="25">
        <v>-681</v>
      </c>
      <c r="P11" s="25">
        <v>-595.06899999999996</v>
      </c>
    </row>
    <row r="12" spans="1:16">
      <c r="A12" s="15" t="s">
        <v>80</v>
      </c>
      <c r="B12" s="18">
        <v>-399</v>
      </c>
      <c r="C12" s="21">
        <v>-3789</v>
      </c>
      <c r="D12" s="21">
        <v>-1376</v>
      </c>
      <c r="E12" s="21">
        <v>-3015</v>
      </c>
      <c r="F12" s="22">
        <v>580</v>
      </c>
      <c r="G12" s="23">
        <v>18756</v>
      </c>
      <c r="H12" s="23">
        <v>6245</v>
      </c>
      <c r="I12" s="23">
        <v>1323</v>
      </c>
      <c r="J12" s="23">
        <v>2051</v>
      </c>
      <c r="K12" s="24">
        <v>2994</v>
      </c>
      <c r="L12" s="25">
        <v>184</v>
      </c>
      <c r="M12" s="25">
        <v>-349</v>
      </c>
      <c r="N12" s="25">
        <v>58</v>
      </c>
      <c r="O12" s="25">
        <v>-497</v>
      </c>
      <c r="P12" s="25">
        <v>-693.86099999999999</v>
      </c>
    </row>
    <row r="13" spans="1:16" s="53" customFormat="1">
      <c r="A13" s="27" t="s">
        <v>58</v>
      </c>
      <c r="B13" s="28">
        <v>16670</v>
      </c>
      <c r="C13" s="29">
        <v>15021</v>
      </c>
      <c r="D13" s="29">
        <v>15256</v>
      </c>
      <c r="E13" s="29">
        <v>17328</v>
      </c>
      <c r="F13" s="94">
        <v>16607</v>
      </c>
      <c r="G13" s="198">
        <v>24269</v>
      </c>
      <c r="H13" s="95">
        <v>17639</v>
      </c>
      <c r="I13" s="95">
        <v>15022</v>
      </c>
      <c r="J13" s="95">
        <v>18096</v>
      </c>
      <c r="K13" s="96">
        <v>19850</v>
      </c>
      <c r="L13" s="97">
        <v>5943</v>
      </c>
      <c r="M13" s="97">
        <v>2405</v>
      </c>
      <c r="N13" s="97">
        <v>2098</v>
      </c>
      <c r="O13" s="97">
        <v>-61</v>
      </c>
      <c r="P13" s="97">
        <v>-123.82899999999999</v>
      </c>
    </row>
    <row r="14" spans="1:16">
      <c r="A14" s="15" t="s">
        <v>59</v>
      </c>
      <c r="B14" s="18">
        <v>-7134</v>
      </c>
      <c r="C14" s="21">
        <v>-10694</v>
      </c>
      <c r="D14" s="21">
        <v>-14633</v>
      </c>
      <c r="E14" s="21">
        <v>-20966</v>
      </c>
      <c r="F14" s="22">
        <v>-25325</v>
      </c>
      <c r="G14" s="23">
        <v>-5742</v>
      </c>
      <c r="H14" s="23">
        <v>-7632</v>
      </c>
      <c r="I14" s="23">
        <v>-7785</v>
      </c>
      <c r="J14" s="23">
        <v>-7049</v>
      </c>
      <c r="K14" s="24">
        <v>-6992</v>
      </c>
      <c r="L14" s="25">
        <v>-3157</v>
      </c>
      <c r="M14" s="25">
        <v>-1327</v>
      </c>
      <c r="N14" s="25">
        <v>-2101</v>
      </c>
      <c r="O14" s="25">
        <v>-3415</v>
      </c>
      <c r="P14" s="25">
        <v>-1280.8019999999999</v>
      </c>
    </row>
    <row r="15" spans="1:16">
      <c r="A15" s="15" t="s">
        <v>60</v>
      </c>
      <c r="B15" s="18">
        <v>0</v>
      </c>
      <c r="C15" s="21">
        <v>0</v>
      </c>
      <c r="D15" s="21">
        <v>0</v>
      </c>
      <c r="E15" s="21">
        <v>0</v>
      </c>
      <c r="F15" s="22">
        <v>0</v>
      </c>
      <c r="G15" s="23">
        <v>0</v>
      </c>
      <c r="H15" s="23">
        <v>0</v>
      </c>
      <c r="I15" s="23">
        <v>0</v>
      </c>
      <c r="J15" s="23">
        <v>0</v>
      </c>
      <c r="K15" s="24">
        <v>0</v>
      </c>
      <c r="L15" s="25">
        <v>-10</v>
      </c>
      <c r="M15" s="25">
        <v>-5</v>
      </c>
      <c r="N15" s="25">
        <v>0</v>
      </c>
      <c r="O15" s="25">
        <v>0</v>
      </c>
      <c r="P15" s="25">
        <v>0</v>
      </c>
    </row>
    <row r="16" spans="1:16">
      <c r="A16" s="15" t="s">
        <v>61</v>
      </c>
      <c r="B16" s="18">
        <v>0</v>
      </c>
      <c r="C16" s="21">
        <v>0</v>
      </c>
      <c r="D16" s="21">
        <v>0</v>
      </c>
      <c r="E16" s="21">
        <v>0</v>
      </c>
      <c r="F16" s="22">
        <v>-804</v>
      </c>
      <c r="G16" s="23">
        <v>1340</v>
      </c>
      <c r="H16" s="23">
        <v>0</v>
      </c>
      <c r="I16" s="23">
        <v>0</v>
      </c>
      <c r="J16" s="23">
        <v>0</v>
      </c>
      <c r="K16" s="24">
        <v>0</v>
      </c>
      <c r="L16" s="25">
        <v>-13</v>
      </c>
      <c r="M16" s="25">
        <v>-45</v>
      </c>
      <c r="N16" s="25">
        <v>-18</v>
      </c>
      <c r="O16" s="25">
        <v>-115</v>
      </c>
      <c r="P16" s="25">
        <v>342.17899999999997</v>
      </c>
    </row>
    <row r="17" spans="1:16">
      <c r="A17" s="15" t="s">
        <v>62</v>
      </c>
      <c r="B17" s="18">
        <v>-34353</v>
      </c>
      <c r="C17" s="21">
        <v>-22348</v>
      </c>
      <c r="D17" s="21">
        <v>-23383</v>
      </c>
      <c r="E17" s="21">
        <v>-15821</v>
      </c>
      <c r="F17" s="22">
        <v>-18079</v>
      </c>
      <c r="G17" s="23">
        <v>0</v>
      </c>
      <c r="H17" s="23">
        <v>0</v>
      </c>
      <c r="I17" s="23">
        <v>0</v>
      </c>
      <c r="J17" s="23">
        <v>0</v>
      </c>
      <c r="K17" s="24">
        <v>0</v>
      </c>
      <c r="L17" s="25">
        <v>0</v>
      </c>
      <c r="M17" s="25">
        <v>0</v>
      </c>
      <c r="N17" s="25">
        <v>0</v>
      </c>
      <c r="O17" s="25">
        <v>0</v>
      </c>
      <c r="P17" s="25">
        <v>16.667000000000002</v>
      </c>
    </row>
    <row r="18" spans="1:16">
      <c r="A18" s="15" t="s">
        <v>63</v>
      </c>
      <c r="B18" s="18">
        <v>0</v>
      </c>
      <c r="C18" s="21">
        <v>0</v>
      </c>
      <c r="D18" s="21">
        <v>0</v>
      </c>
      <c r="E18" s="21">
        <v>0</v>
      </c>
      <c r="F18" s="22">
        <v>0</v>
      </c>
      <c r="G18" s="23">
        <v>-7229</v>
      </c>
      <c r="H18" s="23">
        <v>-543</v>
      </c>
      <c r="I18" s="23">
        <v>3387</v>
      </c>
      <c r="J18" s="23">
        <v>2331</v>
      </c>
      <c r="K18" s="24">
        <v>-2074</v>
      </c>
      <c r="L18" s="25">
        <v>0</v>
      </c>
      <c r="M18" s="25">
        <v>0</v>
      </c>
      <c r="N18" s="25">
        <v>0</v>
      </c>
      <c r="O18" s="25">
        <v>0</v>
      </c>
      <c r="P18" s="25">
        <v>0</v>
      </c>
    </row>
    <row r="19" spans="1:16">
      <c r="A19" s="15" t="s">
        <v>64</v>
      </c>
      <c r="B19" s="18">
        <v>-34353</v>
      </c>
      <c r="C19" s="21">
        <v>-22348</v>
      </c>
      <c r="D19" s="21">
        <v>-23383</v>
      </c>
      <c r="E19" s="21">
        <v>-15821</v>
      </c>
      <c r="F19" s="22">
        <v>-18079</v>
      </c>
      <c r="G19" s="23">
        <v>-7229</v>
      </c>
      <c r="H19" s="23">
        <v>-543</v>
      </c>
      <c r="I19" s="23">
        <v>3387</v>
      </c>
      <c r="J19" s="23">
        <v>2331</v>
      </c>
      <c r="K19" s="24">
        <v>-2074</v>
      </c>
      <c r="L19" s="25">
        <v>0</v>
      </c>
      <c r="M19" s="25">
        <v>0</v>
      </c>
      <c r="N19" s="25">
        <v>0</v>
      </c>
      <c r="O19" s="25">
        <v>0</v>
      </c>
      <c r="P19" s="25">
        <v>16.667000000000002</v>
      </c>
    </row>
    <row r="20" spans="1:16">
      <c r="A20" s="15" t="s">
        <v>65</v>
      </c>
      <c r="B20" s="18">
        <v>19661</v>
      </c>
      <c r="C20" s="21">
        <v>22143</v>
      </c>
      <c r="D20" s="21">
        <v>17253</v>
      </c>
      <c r="E20" s="21">
        <v>9215</v>
      </c>
      <c r="F20" s="22">
        <v>8565</v>
      </c>
      <c r="G20" s="23">
        <v>-6984</v>
      </c>
      <c r="H20" s="23">
        <v>-5546</v>
      </c>
      <c r="I20" s="23">
        <v>-11863</v>
      </c>
      <c r="J20" s="23">
        <v>-14642</v>
      </c>
      <c r="K20" s="24">
        <v>-16236</v>
      </c>
      <c r="L20" s="25">
        <v>48</v>
      </c>
      <c r="M20" s="25">
        <v>-59</v>
      </c>
      <c r="N20" s="25">
        <v>-218</v>
      </c>
      <c r="O20" s="25">
        <v>-666</v>
      </c>
      <c r="P20" s="25">
        <v>-159.66900000000001</v>
      </c>
    </row>
    <row r="21" spans="1:16" s="53" customFormat="1">
      <c r="A21" s="27" t="s">
        <v>66</v>
      </c>
      <c r="B21" s="28">
        <v>-21826</v>
      </c>
      <c r="C21" s="29">
        <v>-10899</v>
      </c>
      <c r="D21" s="29">
        <v>-20763</v>
      </c>
      <c r="E21" s="29">
        <v>-27572</v>
      </c>
      <c r="F21" s="94">
        <v>-35643</v>
      </c>
      <c r="G21" s="95">
        <v>-18615</v>
      </c>
      <c r="H21" s="95">
        <v>-13721</v>
      </c>
      <c r="I21" s="95">
        <v>-16261</v>
      </c>
      <c r="J21" s="95">
        <v>-19360</v>
      </c>
      <c r="K21" s="96">
        <v>-25302</v>
      </c>
      <c r="L21" s="97">
        <v>-3132</v>
      </c>
      <c r="M21" s="97">
        <v>-1436</v>
      </c>
      <c r="N21" s="97">
        <v>-2337</v>
      </c>
      <c r="O21" s="97">
        <v>-4196</v>
      </c>
      <c r="P21" s="97">
        <v>-1081.085</v>
      </c>
    </row>
    <row r="22" spans="1:16">
      <c r="A22" s="15" t="s">
        <v>67</v>
      </c>
      <c r="B22" s="18">
        <v>5864</v>
      </c>
      <c r="C22" s="21">
        <v>-2219</v>
      </c>
      <c r="D22" s="21">
        <v>10478</v>
      </c>
      <c r="E22" s="21">
        <v>18595</v>
      </c>
      <c r="F22" s="22">
        <v>21309</v>
      </c>
      <c r="G22" s="23">
        <v>5386</v>
      </c>
      <c r="H22" s="23">
        <v>1107</v>
      </c>
      <c r="I22" s="23">
        <v>5958</v>
      </c>
      <c r="J22" s="23">
        <v>5031</v>
      </c>
      <c r="K22" s="24">
        <v>7164</v>
      </c>
      <c r="L22" s="25">
        <v>-2488</v>
      </c>
      <c r="M22" s="25">
        <v>322</v>
      </c>
      <c r="N22" s="25">
        <v>89</v>
      </c>
      <c r="O22" s="25">
        <v>3468</v>
      </c>
      <c r="P22" s="25">
        <v>1718.19</v>
      </c>
    </row>
    <row r="23" spans="1:16">
      <c r="A23" s="15" t="s">
        <v>68</v>
      </c>
      <c r="B23" s="18">
        <v>277</v>
      </c>
      <c r="C23" s="21">
        <v>-312</v>
      </c>
      <c r="D23" s="21">
        <v>1186</v>
      </c>
      <c r="E23" s="21">
        <v>-140</v>
      </c>
      <c r="F23" s="22">
        <v>-282</v>
      </c>
      <c r="G23" s="23">
        <v>-2291</v>
      </c>
      <c r="H23" s="23">
        <v>-1384</v>
      </c>
      <c r="I23" s="23">
        <v>-2819</v>
      </c>
      <c r="J23" s="23">
        <v>1229</v>
      </c>
      <c r="K23" s="24">
        <v>3864</v>
      </c>
      <c r="L23" s="25">
        <v>0</v>
      </c>
      <c r="M23" s="25">
        <v>0</v>
      </c>
      <c r="N23" s="25">
        <v>0</v>
      </c>
      <c r="O23" s="25">
        <v>0</v>
      </c>
      <c r="P23" s="25">
        <v>0</v>
      </c>
    </row>
    <row r="24" spans="1:16">
      <c r="A24" s="15" t="s">
        <v>69</v>
      </c>
      <c r="B24" s="18">
        <v>6141</v>
      </c>
      <c r="C24" s="21">
        <v>-2531</v>
      </c>
      <c r="D24" s="21">
        <v>11664</v>
      </c>
      <c r="E24" s="21">
        <v>18455</v>
      </c>
      <c r="F24" s="22">
        <v>21027</v>
      </c>
      <c r="G24" s="23">
        <v>3095</v>
      </c>
      <c r="H24" s="23">
        <v>-277</v>
      </c>
      <c r="I24" s="23">
        <v>3139</v>
      </c>
      <c r="J24" s="23">
        <v>6260</v>
      </c>
      <c r="K24" s="24">
        <v>11028</v>
      </c>
      <c r="L24" s="25">
        <v>-2488</v>
      </c>
      <c r="M24" s="25">
        <v>322</v>
      </c>
      <c r="N24" s="25">
        <v>89</v>
      </c>
      <c r="O24" s="25">
        <v>3468</v>
      </c>
      <c r="P24" s="25">
        <v>1718.19</v>
      </c>
    </row>
    <row r="25" spans="1:16">
      <c r="A25" s="15" t="s">
        <v>70</v>
      </c>
      <c r="B25" s="18">
        <v>0</v>
      </c>
      <c r="C25" s="21">
        <v>0</v>
      </c>
      <c r="D25" s="21">
        <v>0</v>
      </c>
      <c r="E25" s="21">
        <v>-4492</v>
      </c>
      <c r="F25" s="22">
        <v>-2500</v>
      </c>
      <c r="G25" s="23">
        <v>0</v>
      </c>
      <c r="H25" s="23">
        <v>-237</v>
      </c>
      <c r="I25" s="23">
        <v>-164</v>
      </c>
      <c r="J25" s="23">
        <v>-131</v>
      </c>
      <c r="K25" s="24">
        <v>-145</v>
      </c>
      <c r="L25" s="25">
        <v>12686</v>
      </c>
      <c r="M25" s="25">
        <v>1285</v>
      </c>
      <c r="N25" s="25">
        <v>296</v>
      </c>
      <c r="O25" s="25">
        <v>482</v>
      </c>
      <c r="P25" s="25">
        <v>1865.5509999999999</v>
      </c>
    </row>
    <row r="26" spans="1:16">
      <c r="A26" s="15" t="s">
        <v>71</v>
      </c>
      <c r="B26" s="18">
        <v>492</v>
      </c>
      <c r="C26" s="21">
        <v>457</v>
      </c>
      <c r="D26" s="21">
        <v>2862</v>
      </c>
      <c r="E26" s="21">
        <v>-3507</v>
      </c>
      <c r="F26" s="22">
        <v>-2500</v>
      </c>
      <c r="G26" s="23">
        <v>0</v>
      </c>
      <c r="H26" s="23">
        <v>-237</v>
      </c>
      <c r="I26" s="23">
        <v>-164</v>
      </c>
      <c r="J26" s="23">
        <v>-131</v>
      </c>
      <c r="K26" s="24">
        <v>-145</v>
      </c>
      <c r="L26" s="25">
        <v>12686</v>
      </c>
      <c r="M26" s="25">
        <v>1285</v>
      </c>
      <c r="N26" s="25">
        <v>296</v>
      </c>
      <c r="O26" s="25">
        <v>482</v>
      </c>
      <c r="P26" s="25">
        <v>1865.5509999999999</v>
      </c>
    </row>
    <row r="27" spans="1:16">
      <c r="A27" s="15" t="s">
        <v>72</v>
      </c>
      <c r="B27" s="18">
        <v>-669</v>
      </c>
      <c r="C27" s="21">
        <v>-2350</v>
      </c>
      <c r="D27" s="21">
        <v>-2242</v>
      </c>
      <c r="E27" s="21">
        <v>-2233</v>
      </c>
      <c r="F27" s="22">
        <v>-2368</v>
      </c>
      <c r="G27" s="23">
        <v>-596</v>
      </c>
      <c r="H27" s="23">
        <v>-2389</v>
      </c>
      <c r="I27" s="23">
        <v>-2905</v>
      </c>
      <c r="J27" s="23">
        <v>-2584</v>
      </c>
      <c r="K27" s="24">
        <v>-3376</v>
      </c>
      <c r="L27" s="25">
        <v>0</v>
      </c>
      <c r="M27" s="25">
        <v>0</v>
      </c>
      <c r="N27" s="25">
        <v>0</v>
      </c>
      <c r="O27" s="25">
        <v>0</v>
      </c>
      <c r="P27" s="25">
        <v>0</v>
      </c>
    </row>
    <row r="28" spans="1:16">
      <c r="A28" s="15" t="s">
        <v>73</v>
      </c>
      <c r="B28" s="21">
        <v>-412</v>
      </c>
      <c r="C28" s="21">
        <v>-253</v>
      </c>
      <c r="D28" s="21">
        <v>-830</v>
      </c>
      <c r="E28" s="21">
        <v>-131</v>
      </c>
      <c r="F28" s="22">
        <v>918</v>
      </c>
      <c r="G28" s="23">
        <v>-184</v>
      </c>
      <c r="H28" s="23">
        <v>-226</v>
      </c>
      <c r="I28" s="23">
        <v>-192</v>
      </c>
      <c r="J28" s="23">
        <v>-151</v>
      </c>
      <c r="K28" s="24">
        <v>-107</v>
      </c>
      <c r="L28" s="25">
        <v>-225</v>
      </c>
      <c r="M28" s="25">
        <v>-78</v>
      </c>
      <c r="N28" s="25">
        <v>189</v>
      </c>
      <c r="O28" s="25">
        <v>465</v>
      </c>
      <c r="P28" s="25">
        <v>160.23500000000001</v>
      </c>
    </row>
    <row r="29" spans="1:16" s="53" customFormat="1">
      <c r="A29" s="27" t="s">
        <v>81</v>
      </c>
      <c r="B29" s="29">
        <v>5552</v>
      </c>
      <c r="C29" s="29">
        <v>-4677</v>
      </c>
      <c r="D29" s="29">
        <v>11454</v>
      </c>
      <c r="E29" s="29">
        <v>12584</v>
      </c>
      <c r="F29" s="94">
        <v>17077</v>
      </c>
      <c r="G29" s="95">
        <v>2315</v>
      </c>
      <c r="H29" s="95">
        <v>-3129</v>
      </c>
      <c r="I29" s="95">
        <v>-122</v>
      </c>
      <c r="J29" s="95">
        <v>3394</v>
      </c>
      <c r="K29" s="96">
        <v>7400</v>
      </c>
      <c r="L29" s="97">
        <v>9973</v>
      </c>
      <c r="M29" s="97">
        <v>1529</v>
      </c>
      <c r="N29" s="97">
        <v>574</v>
      </c>
      <c r="O29" s="97">
        <v>4415</v>
      </c>
      <c r="P29" s="97">
        <v>3743.9760000000001</v>
      </c>
    </row>
    <row r="30" spans="1:16" s="53" customFormat="1">
      <c r="A30" s="27" t="s">
        <v>82</v>
      </c>
      <c r="B30" s="29">
        <v>174</v>
      </c>
      <c r="C30" s="29">
        <v>-553</v>
      </c>
      <c r="D30" s="29">
        <v>5648</v>
      </c>
      <c r="E30" s="29">
        <v>2688</v>
      </c>
      <c r="F30" s="94">
        <v>-2172</v>
      </c>
      <c r="G30" s="95">
        <v>8194</v>
      </c>
      <c r="H30" s="95">
        <v>834</v>
      </c>
      <c r="I30" s="95">
        <v>-1731</v>
      </c>
      <c r="J30" s="95">
        <v>2619</v>
      </c>
      <c r="K30" s="96">
        <v>1683</v>
      </c>
      <c r="L30" s="97">
        <v>13118</v>
      </c>
      <c r="M30" s="97">
        <v>2506</v>
      </c>
      <c r="N30" s="97">
        <v>312</v>
      </c>
      <c r="O30" s="97">
        <v>198</v>
      </c>
      <c r="P30" s="97">
        <v>2532.509</v>
      </c>
    </row>
    <row r="31" spans="1:16">
      <c r="A31" s="27" t="s">
        <v>135</v>
      </c>
      <c r="B31" s="29">
        <v>0</v>
      </c>
      <c r="C31" s="21">
        <v>0</v>
      </c>
      <c r="D31" s="21">
        <v>0</v>
      </c>
      <c r="E31" s="21">
        <v>0</v>
      </c>
      <c r="F31" s="22">
        <v>0</v>
      </c>
      <c r="G31" s="23">
        <v>199</v>
      </c>
      <c r="H31" s="23">
        <v>288</v>
      </c>
      <c r="I31" s="23">
        <v>191</v>
      </c>
      <c r="J31" s="23">
        <v>246</v>
      </c>
      <c r="K31" s="24">
        <v>210</v>
      </c>
      <c r="L31" s="25">
        <v>1734</v>
      </c>
      <c r="M31" s="25">
        <v>898</v>
      </c>
      <c r="N31" s="25">
        <v>749</v>
      </c>
      <c r="O31" s="25">
        <v>467</v>
      </c>
      <c r="P31" s="25">
        <v>334.22500000000002</v>
      </c>
    </row>
    <row r="32" spans="1:16" s="53" customFormat="1">
      <c r="A32" s="27" t="s">
        <v>83</v>
      </c>
      <c r="B32" s="29">
        <v>-669</v>
      </c>
      <c r="C32" s="29">
        <v>-2350</v>
      </c>
      <c r="D32" s="29">
        <v>-2242</v>
      </c>
      <c r="E32" s="29">
        <v>-2233</v>
      </c>
      <c r="F32" s="94">
        <v>-2368</v>
      </c>
      <c r="G32" s="95">
        <v>-596</v>
      </c>
      <c r="H32" s="95">
        <v>-2389</v>
      </c>
      <c r="I32" s="95">
        <v>-2905</v>
      </c>
      <c r="J32" s="95">
        <v>-2584</v>
      </c>
      <c r="K32" s="96">
        <v>-3376</v>
      </c>
      <c r="L32" s="97">
        <v>0</v>
      </c>
      <c r="M32" s="97">
        <v>0</v>
      </c>
      <c r="N32" s="97">
        <v>0</v>
      </c>
      <c r="O32" s="97">
        <v>0</v>
      </c>
      <c r="P32" s="97">
        <v>0</v>
      </c>
    </row>
  </sheetData>
  <mergeCells count="4">
    <mergeCell ref="B1:F1"/>
    <mergeCell ref="G1:K1"/>
    <mergeCell ref="L1:P1"/>
    <mergeCell ref="A2:A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5DFC9-2214-8E4E-AF3D-EBDB6F483515}">
  <dimension ref="A1:W40"/>
  <sheetViews>
    <sheetView zoomScale="90" workbookViewId="0">
      <pane xSplit="1" ySplit="3" topLeftCell="O4" activePane="bottomRight" state="frozen"/>
      <selection pane="topRight" activeCell="B1" sqref="B1"/>
      <selection pane="bottomLeft" activeCell="A4" sqref="A4"/>
      <selection pane="bottomRight" activeCell="R48" sqref="R48"/>
    </sheetView>
  </sheetViews>
  <sheetFormatPr baseColWidth="10" defaultColWidth="10.83203125" defaultRowHeight="16"/>
  <cols>
    <col min="1" max="1" width="30.33203125" style="163" bestFit="1" customWidth="1"/>
    <col min="2" max="5" width="12.6640625" style="30" bestFit="1" customWidth="1"/>
    <col min="6" max="6" width="12.6640625" style="31" bestFit="1" customWidth="1"/>
    <col min="7" max="10" width="12.6640625" style="32" bestFit="1" customWidth="1"/>
    <col min="11" max="11" width="12.6640625" style="33" bestFit="1" customWidth="1"/>
    <col min="12" max="16" width="11" style="34" bestFit="1" customWidth="1"/>
    <col min="17" max="17" width="10.83203125" style="26"/>
    <col min="18" max="18" width="20" style="26" bestFit="1" customWidth="1"/>
    <col min="19" max="16384" width="10.83203125" style="26"/>
  </cols>
  <sheetData>
    <row r="1" spans="1:23" s="2" customFormat="1">
      <c r="A1" s="163"/>
      <c r="B1" s="395" t="s">
        <v>0</v>
      </c>
      <c r="C1" s="395"/>
      <c r="D1" s="395"/>
      <c r="E1" s="395"/>
      <c r="F1" s="395"/>
      <c r="G1" s="396" t="s">
        <v>1</v>
      </c>
      <c r="H1" s="396"/>
      <c r="I1" s="396"/>
      <c r="J1" s="396"/>
      <c r="K1" s="396"/>
      <c r="L1" s="397" t="s">
        <v>2</v>
      </c>
      <c r="M1" s="397"/>
      <c r="N1" s="397"/>
      <c r="O1" s="397"/>
      <c r="P1" s="397"/>
    </row>
    <row r="2" spans="1:23" s="2" customFormat="1">
      <c r="A2" s="399" t="s">
        <v>3</v>
      </c>
      <c r="B2" s="3">
        <v>2020</v>
      </c>
      <c r="C2" s="3">
        <v>2019</v>
      </c>
      <c r="D2" s="3">
        <v>2018</v>
      </c>
      <c r="E2" s="3">
        <v>2017</v>
      </c>
      <c r="F2" s="4">
        <v>2016</v>
      </c>
      <c r="G2" s="5">
        <v>2020</v>
      </c>
      <c r="H2" s="5">
        <v>2019</v>
      </c>
      <c r="I2" s="5">
        <v>2018</v>
      </c>
      <c r="J2" s="5">
        <v>2017</v>
      </c>
      <c r="K2" s="6">
        <v>2016</v>
      </c>
      <c r="L2" s="7">
        <v>2020</v>
      </c>
      <c r="M2" s="7">
        <v>2019</v>
      </c>
      <c r="N2" s="7">
        <v>2018</v>
      </c>
      <c r="O2" s="7">
        <v>2017</v>
      </c>
      <c r="P2" s="7">
        <v>2016</v>
      </c>
    </row>
    <row r="3" spans="1:23" s="2" customFormat="1">
      <c r="A3" s="399"/>
      <c r="B3" s="8" t="s">
        <v>4</v>
      </c>
      <c r="C3" s="8" t="s">
        <v>4</v>
      </c>
      <c r="D3" s="8" t="s">
        <v>4</v>
      </c>
      <c r="E3" s="8" t="s">
        <v>4</v>
      </c>
      <c r="F3" s="9" t="s">
        <v>4</v>
      </c>
      <c r="G3" s="10" t="s">
        <v>4</v>
      </c>
      <c r="H3" s="10" t="s">
        <v>4</v>
      </c>
      <c r="I3" s="10" t="s">
        <v>4</v>
      </c>
      <c r="J3" s="10" t="s">
        <v>4</v>
      </c>
      <c r="K3" s="11" t="s">
        <v>4</v>
      </c>
      <c r="L3" s="12" t="s">
        <v>4</v>
      </c>
      <c r="M3" s="12" t="s">
        <v>4</v>
      </c>
      <c r="N3" s="12" t="s">
        <v>4</v>
      </c>
      <c r="O3" s="12" t="s">
        <v>4</v>
      </c>
      <c r="P3" s="12" t="s">
        <v>4</v>
      </c>
    </row>
    <row r="4" spans="1:23">
      <c r="A4" s="160" t="s">
        <v>97</v>
      </c>
      <c r="B4" s="68">
        <f>IS!B4</f>
        <v>122485</v>
      </c>
      <c r="C4" s="68">
        <f>IS!C4</f>
        <v>137237</v>
      </c>
      <c r="D4" s="68">
        <f>IS!D4</f>
        <v>147049</v>
      </c>
      <c r="E4" s="68">
        <f>IS!E4</f>
        <v>145588</v>
      </c>
      <c r="F4" s="69">
        <f>IS!F4</f>
        <v>149184</v>
      </c>
      <c r="G4" s="70">
        <f>IS!G4</f>
        <v>127144</v>
      </c>
      <c r="H4" s="70">
        <f>IS!H4</f>
        <v>155900</v>
      </c>
      <c r="I4" s="70">
        <f>IS!I4</f>
        <v>160338</v>
      </c>
      <c r="J4" s="70">
        <f>IS!J4</f>
        <v>156776</v>
      </c>
      <c r="K4" s="71">
        <f>IS!K4</f>
        <v>151800</v>
      </c>
      <c r="L4" s="72">
        <f>IS!L4</f>
        <v>31536</v>
      </c>
      <c r="M4" s="72">
        <f>IS!M4</f>
        <v>24578</v>
      </c>
      <c r="N4" s="72">
        <f>IS!N4</f>
        <v>21461</v>
      </c>
      <c r="O4" s="72">
        <f>IS!O4</f>
        <v>11759</v>
      </c>
      <c r="P4" s="72">
        <f>IS!P4</f>
        <v>7000.1319999999996</v>
      </c>
    </row>
    <row r="5" spans="1:23">
      <c r="A5" s="160" t="s">
        <v>98</v>
      </c>
      <c r="B5" s="68">
        <f>IS!B6</f>
        <v>13672</v>
      </c>
      <c r="C5" s="68">
        <f>IS!C6</f>
        <v>13972</v>
      </c>
      <c r="D5" s="68">
        <f>IS!D6</f>
        <v>14095</v>
      </c>
      <c r="E5" s="68">
        <f>IS!E6</f>
        <v>18231</v>
      </c>
      <c r="F5" s="69">
        <f>IS!F6</f>
        <v>19031</v>
      </c>
      <c r="G5" s="70">
        <f>IS!G6</f>
        <v>14392</v>
      </c>
      <c r="H5" s="70">
        <f>IS!H6</f>
        <v>21207</v>
      </c>
      <c r="I5" s="70">
        <f>IS!I6</f>
        <v>24069</v>
      </c>
      <c r="J5" s="70">
        <f>IS!J6</f>
        <v>25455</v>
      </c>
      <c r="K5" s="71">
        <f>IS!K6</f>
        <v>25605</v>
      </c>
      <c r="L5" s="72">
        <f>IS!L6</f>
        <v>6630</v>
      </c>
      <c r="M5" s="72">
        <f>IS!M6</f>
        <v>4069</v>
      </c>
      <c r="N5" s="72">
        <f>IS!N6</f>
        <v>4042</v>
      </c>
      <c r="O5" s="72">
        <f>IS!O6</f>
        <v>2223</v>
      </c>
      <c r="P5" s="72">
        <f>IS!P6</f>
        <v>1599.2569999999996</v>
      </c>
    </row>
    <row r="6" spans="1:23" s="89" customFormat="1">
      <c r="A6" s="165" t="s">
        <v>99</v>
      </c>
      <c r="B6" s="98">
        <f>B5/B4</f>
        <v>0.1116218312446422</v>
      </c>
      <c r="C6" s="98">
        <f t="shared" ref="C6:P6" si="0">C5/C4</f>
        <v>0.10180927883879712</v>
      </c>
      <c r="D6" s="98">
        <f t="shared" si="0"/>
        <v>9.5852402940516432E-2</v>
      </c>
      <c r="E6" s="98">
        <f t="shared" si="0"/>
        <v>0.12522323268401242</v>
      </c>
      <c r="F6" s="107">
        <f t="shared" si="0"/>
        <v>0.12756729944229944</v>
      </c>
      <c r="G6" s="101">
        <f t="shared" si="0"/>
        <v>0.11319448813943246</v>
      </c>
      <c r="H6" s="101">
        <f t="shared" si="0"/>
        <v>0.13602950609364978</v>
      </c>
      <c r="I6" s="101">
        <f t="shared" si="0"/>
        <v>0.15011413389215283</v>
      </c>
      <c r="J6" s="101">
        <f t="shared" si="0"/>
        <v>0.16236541307342961</v>
      </c>
      <c r="K6" s="110">
        <f t="shared" si="0"/>
        <v>0.16867588932806324</v>
      </c>
      <c r="L6" s="104">
        <f t="shared" si="0"/>
        <v>0.2102359208523592</v>
      </c>
      <c r="M6" s="104">
        <f t="shared" si="0"/>
        <v>0.1655545609895028</v>
      </c>
      <c r="N6" s="104">
        <f t="shared" si="0"/>
        <v>0.18834164298028983</v>
      </c>
      <c r="O6" s="104">
        <f t="shared" si="0"/>
        <v>0.1890466876435071</v>
      </c>
      <c r="P6" s="104">
        <f t="shared" si="0"/>
        <v>0.22846097759299391</v>
      </c>
    </row>
    <row r="7" spans="1:23">
      <c r="A7" s="160" t="s">
        <v>100</v>
      </c>
      <c r="B7" s="68">
        <f>IS!B12</f>
        <v>6634</v>
      </c>
      <c r="C7" s="68">
        <f>IS!C12</f>
        <v>5481</v>
      </c>
      <c r="D7" s="68">
        <f>IS!D12</f>
        <v>4445</v>
      </c>
      <c r="E7" s="68">
        <f>IS!E12</f>
        <v>8661</v>
      </c>
      <c r="F7" s="69">
        <f>IS!F12</f>
        <v>8686</v>
      </c>
      <c r="G7" s="70">
        <f>IS!G12</f>
        <v>-4408</v>
      </c>
      <c r="H7" s="70">
        <f>IS!H12</f>
        <v>574</v>
      </c>
      <c r="I7" s="70">
        <f>IS!I12</f>
        <v>3203</v>
      </c>
      <c r="J7" s="70">
        <f>IS!J12</f>
        <v>4881</v>
      </c>
      <c r="K7" s="71">
        <f>IS!K12</f>
        <v>5786</v>
      </c>
      <c r="L7" s="72">
        <f>IS!L12</f>
        <v>1994</v>
      </c>
      <c r="M7" s="72">
        <f>IS!M12</f>
        <v>-69</v>
      </c>
      <c r="N7" s="72">
        <f>IS!N12</f>
        <v>-388</v>
      </c>
      <c r="O7" s="72">
        <f>IS!O12</f>
        <v>-1632</v>
      </c>
      <c r="P7" s="72">
        <f>IS!P12</f>
        <v>-667.34000000000049</v>
      </c>
    </row>
    <row r="8" spans="1:23" s="89" customFormat="1">
      <c r="A8" s="165" t="s">
        <v>101</v>
      </c>
      <c r="B8" s="98">
        <f>B7/B4</f>
        <v>5.4161734089888558E-2</v>
      </c>
      <c r="C8" s="98">
        <f t="shared" ref="C8:P8" si="1">C7/C4</f>
        <v>3.9938209083556185E-2</v>
      </c>
      <c r="D8" s="98">
        <f t="shared" si="1"/>
        <v>3.0228019231684677E-2</v>
      </c>
      <c r="E8" s="98">
        <f t="shared" si="1"/>
        <v>5.9489793114817155E-2</v>
      </c>
      <c r="F8" s="107">
        <f t="shared" si="1"/>
        <v>5.8223401973401971E-2</v>
      </c>
      <c r="G8" s="101">
        <f t="shared" si="1"/>
        <v>-3.4669351286730009E-2</v>
      </c>
      <c r="H8" s="101">
        <f t="shared" si="1"/>
        <v>3.6818473380372035E-3</v>
      </c>
      <c r="I8" s="101">
        <f t="shared" si="1"/>
        <v>1.9976549539098654E-2</v>
      </c>
      <c r="J8" s="101">
        <f t="shared" si="1"/>
        <v>3.1133591876307598E-2</v>
      </c>
      <c r="K8" s="110">
        <f t="shared" si="1"/>
        <v>3.8115942028985508E-2</v>
      </c>
      <c r="L8" s="104">
        <f t="shared" si="1"/>
        <v>6.3229325215626589E-2</v>
      </c>
      <c r="M8" s="104">
        <f t="shared" si="1"/>
        <v>-2.8073887216209618E-3</v>
      </c>
      <c r="N8" s="104">
        <f t="shared" si="1"/>
        <v>-1.8079306649270769E-2</v>
      </c>
      <c r="O8" s="104">
        <f t="shared" si="1"/>
        <v>-0.13878731184624543</v>
      </c>
      <c r="P8" s="104">
        <f t="shared" si="1"/>
        <v>-9.5332488015940339E-2</v>
      </c>
    </row>
    <row r="9" spans="1:23">
      <c r="A9" s="163" t="s">
        <v>111</v>
      </c>
      <c r="B9" s="136">
        <f>IS!B24</f>
        <v>6247</v>
      </c>
      <c r="C9" s="136">
        <f>IS!C24</f>
        <v>6581</v>
      </c>
      <c r="D9" s="136">
        <f>IS!D24</f>
        <v>7916</v>
      </c>
      <c r="E9" s="136">
        <f>IS!E24</f>
        <v>-3880</v>
      </c>
      <c r="F9" s="108">
        <f>IS!F24</f>
        <v>9427</v>
      </c>
      <c r="G9" s="102">
        <f>IS!G22</f>
        <v>-1279</v>
      </c>
      <c r="H9" s="102">
        <f>IS!H22</f>
        <v>47</v>
      </c>
      <c r="I9" s="102">
        <f>IS!I22</f>
        <v>3677</v>
      </c>
      <c r="J9" s="102">
        <f>IS!J22</f>
        <v>7731</v>
      </c>
      <c r="K9" s="111">
        <f>IS!K22</f>
        <v>4589</v>
      </c>
      <c r="L9" s="105">
        <f>IS!L22</f>
        <v>690</v>
      </c>
      <c r="M9" s="105">
        <f>IS!M22</f>
        <v>-870</v>
      </c>
      <c r="N9" s="105">
        <f>IS!N22</f>
        <v>-976</v>
      </c>
      <c r="O9" s="105">
        <f>IS!O22</f>
        <v>-1962</v>
      </c>
      <c r="P9" s="105">
        <f>IS!P22</f>
        <v>-675</v>
      </c>
    </row>
    <row r="10" spans="1:23" s="53" customFormat="1">
      <c r="A10" s="166" t="s">
        <v>112</v>
      </c>
      <c r="B10" s="100">
        <f>B9/B4</f>
        <v>5.1002163530228191E-2</v>
      </c>
      <c r="C10" s="100">
        <f t="shared" ref="C10:P10" si="2">C9/C4</f>
        <v>4.7953540226032342E-2</v>
      </c>
      <c r="D10" s="100">
        <f t="shared" si="2"/>
        <v>5.3832396004053068E-2</v>
      </c>
      <c r="E10" s="100">
        <f t="shared" si="2"/>
        <v>-2.6650548122097974E-2</v>
      </c>
      <c r="F10" s="109">
        <f t="shared" si="2"/>
        <v>6.3190422565422566E-2</v>
      </c>
      <c r="G10" s="103">
        <f t="shared" si="2"/>
        <v>-1.0059460139684138E-2</v>
      </c>
      <c r="H10" s="103">
        <f t="shared" si="2"/>
        <v>3.0147530468248876E-4</v>
      </c>
      <c r="I10" s="103">
        <f t="shared" si="2"/>
        <v>2.2932804450598112E-2</v>
      </c>
      <c r="J10" s="103">
        <f t="shared" si="2"/>
        <v>4.9312394754299126E-2</v>
      </c>
      <c r="K10" s="112">
        <f t="shared" si="2"/>
        <v>3.023056653491436E-2</v>
      </c>
      <c r="L10" s="106">
        <f t="shared" si="2"/>
        <v>2.1879756468797563E-2</v>
      </c>
      <c r="M10" s="106">
        <f t="shared" si="2"/>
        <v>-3.5397509968264303E-2</v>
      </c>
      <c r="N10" s="106">
        <f t="shared" si="2"/>
        <v>-4.5477843530124414E-2</v>
      </c>
      <c r="O10" s="106">
        <f t="shared" si="2"/>
        <v>-0.16685092269750829</v>
      </c>
      <c r="P10" s="106">
        <f t="shared" si="2"/>
        <v>-9.642675309551306E-2</v>
      </c>
    </row>
    <row r="11" spans="1:23">
      <c r="A11" s="160" t="s">
        <v>103</v>
      </c>
      <c r="B11" s="68">
        <f>BS!B17</f>
        <v>235194</v>
      </c>
      <c r="C11" s="68">
        <f>BS!C17</f>
        <v>228037</v>
      </c>
      <c r="D11" s="68">
        <f>BS!D17</f>
        <v>227339</v>
      </c>
      <c r="E11" s="68">
        <f>BS!E17</f>
        <v>212482</v>
      </c>
      <c r="F11" s="69">
        <f>BS!F17</f>
        <v>221690</v>
      </c>
      <c r="G11" s="70">
        <f>BS!G17</f>
        <v>267261</v>
      </c>
      <c r="H11" s="70">
        <f>BS!H17</f>
        <v>258537</v>
      </c>
      <c r="I11" s="70">
        <f>BS!I17</f>
        <v>256540</v>
      </c>
      <c r="J11" s="70">
        <f>BS!J17</f>
        <v>258496</v>
      </c>
      <c r="K11" s="71">
        <f>BS!K17</f>
        <v>237951</v>
      </c>
      <c r="L11" s="72">
        <f>BS!L17</f>
        <v>52148</v>
      </c>
      <c r="M11" s="72">
        <f>BS!M17</f>
        <v>34309</v>
      </c>
      <c r="N11" s="72">
        <f>BS!N17</f>
        <v>29740</v>
      </c>
      <c r="O11" s="72">
        <f>BS!O17</f>
        <v>28655.37</v>
      </c>
      <c r="P11" s="72">
        <f>BS!P17</f>
        <v>22664.076000000001</v>
      </c>
    </row>
    <row r="12" spans="1:23" s="53" customFormat="1">
      <c r="A12" s="166" t="s">
        <v>126</v>
      </c>
      <c r="B12" s="100">
        <f>B9/B11</f>
        <v>2.6561051727510054E-2</v>
      </c>
      <c r="C12" s="100">
        <f t="shared" ref="C12:P12" si="3">C9/C11</f>
        <v>2.8859351771861583E-2</v>
      </c>
      <c r="D12" s="100">
        <f t="shared" si="3"/>
        <v>3.4820246416145055E-2</v>
      </c>
      <c r="E12" s="100">
        <f t="shared" si="3"/>
        <v>-1.8260370290189287E-2</v>
      </c>
      <c r="F12" s="109">
        <f t="shared" si="3"/>
        <v>4.2523343407460869E-2</v>
      </c>
      <c r="G12" s="103">
        <f t="shared" si="3"/>
        <v>-4.7855841293716625E-3</v>
      </c>
      <c r="H12" s="103">
        <f t="shared" si="3"/>
        <v>1.8179216127672248E-4</v>
      </c>
      <c r="I12" s="103">
        <f t="shared" si="3"/>
        <v>1.4333047477976145E-2</v>
      </c>
      <c r="J12" s="103">
        <f t="shared" si="3"/>
        <v>2.9907619460262443E-2</v>
      </c>
      <c r="K12" s="112">
        <f t="shared" si="3"/>
        <v>1.9285483145689657E-2</v>
      </c>
      <c r="L12" s="106">
        <f t="shared" si="3"/>
        <v>1.3231571680601366E-2</v>
      </c>
      <c r="M12" s="106">
        <f t="shared" si="3"/>
        <v>-2.5357777842548602E-2</v>
      </c>
      <c r="N12" s="106">
        <f t="shared" si="3"/>
        <v>-3.2817753866845996E-2</v>
      </c>
      <c r="O12" s="106">
        <f t="shared" si="3"/>
        <v>-6.8468841965746735E-2</v>
      </c>
      <c r="P12" s="106">
        <f t="shared" si="3"/>
        <v>-2.9782815765354829E-2</v>
      </c>
    </row>
    <row r="13" spans="1:23">
      <c r="A13" s="160" t="s">
        <v>113</v>
      </c>
      <c r="B13" s="68">
        <f>BS!B32+BS!B25</f>
        <v>155284</v>
      </c>
      <c r="C13" s="68">
        <f>BS!C32+BS!C25</f>
        <v>143132</v>
      </c>
      <c r="D13" s="68">
        <f>BS!D32+BS!D25</f>
        <v>145102</v>
      </c>
      <c r="E13" s="68">
        <f>BS!E32+BS!E25</f>
        <v>135592</v>
      </c>
      <c r="F13" s="69">
        <f>BS!F32+BS!F25</f>
        <v>136509</v>
      </c>
      <c r="G13" s="126">
        <f>BS!G32+BS!G25</f>
        <v>170069</v>
      </c>
      <c r="H13" s="70">
        <f>BS!H32+BS!H25</f>
        <v>160405</v>
      </c>
      <c r="I13" s="70">
        <f>BS!I32+BS!I25</f>
        <v>160971</v>
      </c>
      <c r="J13" s="70">
        <f>BS!J32+BS!J25</f>
        <v>163896</v>
      </c>
      <c r="K13" s="71">
        <f>BS!K32+BS!K25</f>
        <v>147670</v>
      </c>
      <c r="L13" s="72">
        <f>BS!L32+BS!L25</f>
        <v>37900</v>
      </c>
      <c r="M13" s="72">
        <f>BS!M32+BS!M25</f>
        <v>23642</v>
      </c>
      <c r="N13" s="72">
        <f>BS!N32+BS!N25</f>
        <v>19747</v>
      </c>
      <c r="O13" s="72">
        <f>BS!O32+BS!O25</f>
        <v>20983.707999999999</v>
      </c>
      <c r="P13" s="72">
        <f>BS!P32+BS!P25</f>
        <v>16837.065999999999</v>
      </c>
      <c r="S13" s="401" t="s">
        <v>171</v>
      </c>
      <c r="T13" s="401"/>
      <c r="U13" s="401"/>
      <c r="V13" s="401"/>
      <c r="W13" s="401"/>
    </row>
    <row r="14" spans="1:23">
      <c r="A14" s="160" t="s">
        <v>100</v>
      </c>
      <c r="B14" s="68">
        <f>IS!B12</f>
        <v>6634</v>
      </c>
      <c r="C14" s="68">
        <f>IS!C12</f>
        <v>5481</v>
      </c>
      <c r="D14" s="68">
        <f>IS!D12</f>
        <v>4445</v>
      </c>
      <c r="E14" s="68">
        <f>IS!E12</f>
        <v>8661</v>
      </c>
      <c r="F14" s="69">
        <f>IS!F12</f>
        <v>8686</v>
      </c>
      <c r="G14" s="126">
        <f>IS!G12</f>
        <v>-4408</v>
      </c>
      <c r="H14" s="70">
        <f>IS!H12</f>
        <v>574</v>
      </c>
      <c r="I14" s="70">
        <f>IS!I12</f>
        <v>3203</v>
      </c>
      <c r="J14" s="70">
        <f>IS!J12</f>
        <v>4881</v>
      </c>
      <c r="K14" s="71">
        <f>IS!K12</f>
        <v>5786</v>
      </c>
      <c r="L14" s="72">
        <f>IS!L12</f>
        <v>1994</v>
      </c>
      <c r="M14" s="72">
        <f>IS!M12</f>
        <v>-69</v>
      </c>
      <c r="N14" s="72">
        <f>IS!N12</f>
        <v>-388</v>
      </c>
      <c r="O14" s="72">
        <f>IS!O12</f>
        <v>-1632</v>
      </c>
      <c r="P14" s="72">
        <f>IS!P12</f>
        <v>-667.34000000000049</v>
      </c>
      <c r="S14" s="3">
        <v>2020</v>
      </c>
      <c r="T14" s="3">
        <v>2019</v>
      </c>
      <c r="U14" s="3">
        <v>2018</v>
      </c>
      <c r="V14" s="3">
        <v>2017</v>
      </c>
      <c r="W14" s="4">
        <v>2016</v>
      </c>
    </row>
    <row r="15" spans="1:23" s="89" customFormat="1">
      <c r="A15" s="165" t="s">
        <v>104</v>
      </c>
      <c r="B15" s="98">
        <f t="shared" ref="B15:P15" si="4">B14/B13</f>
        <v>4.2721722778908323E-2</v>
      </c>
      <c r="C15" s="98">
        <f t="shared" si="4"/>
        <v>3.829332364530643E-2</v>
      </c>
      <c r="D15" s="98">
        <f t="shared" si="4"/>
        <v>3.0633623244338465E-2</v>
      </c>
      <c r="E15" s="98">
        <f t="shared" si="4"/>
        <v>6.3875449879048918E-2</v>
      </c>
      <c r="F15" s="107">
        <f t="shared" si="4"/>
        <v>6.3629504281768973E-2</v>
      </c>
      <c r="G15" s="138">
        <f t="shared" si="4"/>
        <v>-2.5918891743939226E-2</v>
      </c>
      <c r="H15" s="101">
        <f t="shared" si="4"/>
        <v>3.5784420685140736E-3</v>
      </c>
      <c r="I15" s="101">
        <f t="shared" si="4"/>
        <v>1.9897994048617453E-2</v>
      </c>
      <c r="J15" s="101">
        <f t="shared" si="4"/>
        <v>2.9781080685312638E-2</v>
      </c>
      <c r="K15" s="110">
        <f t="shared" si="4"/>
        <v>3.9181959775174378E-2</v>
      </c>
      <c r="L15" s="104">
        <f t="shared" si="4"/>
        <v>5.261213720316623E-2</v>
      </c>
      <c r="M15" s="104">
        <f t="shared" si="4"/>
        <v>-2.9185348109297014E-3</v>
      </c>
      <c r="N15" s="104">
        <f t="shared" si="4"/>
        <v>-1.9648554210766191E-2</v>
      </c>
      <c r="O15" s="104">
        <f t="shared" si="4"/>
        <v>-7.7774624008302068E-2</v>
      </c>
      <c r="P15" s="104">
        <f t="shared" si="4"/>
        <v>-3.9635171591059899E-2</v>
      </c>
      <c r="R15" s="89" t="s">
        <v>0</v>
      </c>
      <c r="S15" s="89">
        <v>0.12575236024719688</v>
      </c>
      <c r="T15" s="89">
        <v>0.14319907739843768</v>
      </c>
      <c r="U15" s="89">
        <v>0.18505271524417327</v>
      </c>
      <c r="V15" s="89">
        <v>-0.10718232044198896</v>
      </c>
      <c r="W15" s="89">
        <v>0.213885422575156</v>
      </c>
    </row>
    <row r="16" spans="1:23">
      <c r="S16" s="400"/>
      <c r="T16" s="400"/>
      <c r="U16" s="400"/>
      <c r="V16" s="400"/>
      <c r="W16" s="400"/>
    </row>
    <row r="17" spans="18:23">
      <c r="S17" s="3">
        <v>2020</v>
      </c>
      <c r="T17" s="3">
        <v>2019</v>
      </c>
      <c r="U17" s="3">
        <v>2018</v>
      </c>
      <c r="V17" s="3">
        <v>2017</v>
      </c>
      <c r="W17" s="4">
        <v>2016</v>
      </c>
    </row>
    <row r="18" spans="18:23">
      <c r="R18" s="26" t="s">
        <v>0</v>
      </c>
      <c r="S18" s="257">
        <v>2.6561051727510054E-2</v>
      </c>
      <c r="T18" s="257">
        <v>2.8859351771861583E-2</v>
      </c>
      <c r="U18" s="257">
        <v>3.4820246416145055E-2</v>
      </c>
      <c r="V18" s="257">
        <v>-1.8260370290189287E-2</v>
      </c>
      <c r="W18" s="257">
        <v>4.2523343407460869E-2</v>
      </c>
    </row>
    <row r="19" spans="18:23">
      <c r="R19" s="26" t="s">
        <v>166</v>
      </c>
      <c r="S19" s="257">
        <v>-7.0000000000000001E-3</v>
      </c>
      <c r="T19" s="257">
        <v>4.5999999999999999E-2</v>
      </c>
      <c r="U19" s="257">
        <v>4.5999999999999999E-2</v>
      </c>
      <c r="V19" s="257">
        <v>1.7999999999999999E-2</v>
      </c>
      <c r="W19" s="257">
        <v>0.02</v>
      </c>
    </row>
    <row r="20" spans="18:23">
      <c r="S20" s="257"/>
      <c r="T20" s="257"/>
      <c r="U20" s="257"/>
      <c r="V20" s="257"/>
      <c r="W20" s="257"/>
    </row>
    <row r="38" spans="18:23">
      <c r="S38" s="3">
        <v>2020</v>
      </c>
      <c r="T38" s="3">
        <v>2019</v>
      </c>
      <c r="U38" s="3">
        <v>2018</v>
      </c>
      <c r="V38" s="3">
        <v>2017</v>
      </c>
      <c r="W38" s="4">
        <v>2016</v>
      </c>
    </row>
    <row r="39" spans="18:23">
      <c r="R39" s="26" t="s">
        <v>0</v>
      </c>
      <c r="S39" s="257">
        <v>5.1002163530228191E-2</v>
      </c>
      <c r="T39" s="257">
        <v>4.7953540226032342E-2</v>
      </c>
      <c r="U39" s="257">
        <v>5.3832396004053068E-2</v>
      </c>
      <c r="V39" s="257">
        <v>-2.6650548122097974E-2</v>
      </c>
      <c r="W39" s="257">
        <v>6.3190422565422566E-2</v>
      </c>
    </row>
    <row r="40" spans="18:23">
      <c r="R40" s="26" t="s">
        <v>166</v>
      </c>
      <c r="S40" s="257">
        <v>2.3E-2</v>
      </c>
      <c r="T40" s="257">
        <v>1.6E-2</v>
      </c>
      <c r="U40" s="257">
        <v>3.3000000000000002E-2</v>
      </c>
      <c r="V40" s="257">
        <v>4.0000000000000001E-3</v>
      </c>
      <c r="W40" s="257">
        <v>1.4999999999999999E-2</v>
      </c>
    </row>
  </sheetData>
  <mergeCells count="6">
    <mergeCell ref="B1:F1"/>
    <mergeCell ref="G1:K1"/>
    <mergeCell ref="L1:P1"/>
    <mergeCell ref="A2:A3"/>
    <mergeCell ref="S16:W16"/>
    <mergeCell ref="S13:W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1DEAC-CDA9-DE4B-B4C1-6069E8B97F0E}">
  <dimension ref="A1:X69"/>
  <sheetViews>
    <sheetView zoomScale="75" workbookViewId="0">
      <pane xSplit="1" ySplit="3" topLeftCell="B4" activePane="bottomRight" state="frozen"/>
      <selection pane="topRight" activeCell="B1" sqref="B1"/>
      <selection pane="bottomLeft" activeCell="A4" sqref="A4"/>
      <selection pane="bottomRight" activeCell="E17" sqref="E17"/>
    </sheetView>
  </sheetViews>
  <sheetFormatPr baseColWidth="10" defaultColWidth="10.83203125" defaultRowHeight="16"/>
  <cols>
    <col min="1" max="1" width="53.1640625" style="170" bestFit="1" customWidth="1"/>
    <col min="2" max="5" width="11.6640625" style="116" bestFit="1" customWidth="1"/>
    <col min="6" max="6" width="11.6640625" style="31" bestFit="1" customWidth="1"/>
    <col min="7" max="7" width="11.6640625" style="131" bestFit="1" customWidth="1"/>
    <col min="8" max="10" width="11.6640625" style="123" bestFit="1" customWidth="1"/>
    <col min="11" max="11" width="11.6640625" style="33" bestFit="1" customWidth="1"/>
    <col min="12" max="16" width="11.83203125" style="135" bestFit="1" customWidth="1"/>
    <col min="17" max="17" width="10.83203125" style="2"/>
    <col min="18" max="18" width="25" style="2" bestFit="1" customWidth="1"/>
    <col min="19" max="16384" width="10.83203125" style="2"/>
  </cols>
  <sheetData>
    <row r="1" spans="1:23">
      <c r="A1" s="167"/>
      <c r="B1" s="402" t="s">
        <v>0</v>
      </c>
      <c r="C1" s="402"/>
      <c r="D1" s="402"/>
      <c r="E1" s="402"/>
      <c r="F1" s="403"/>
      <c r="G1" s="404" t="s">
        <v>1</v>
      </c>
      <c r="H1" s="405"/>
      <c r="I1" s="405"/>
      <c r="J1" s="405"/>
      <c r="K1" s="406"/>
      <c r="L1" s="397" t="s">
        <v>2</v>
      </c>
      <c r="M1" s="397"/>
      <c r="N1" s="397"/>
      <c r="O1" s="397"/>
      <c r="P1" s="397"/>
    </row>
    <row r="2" spans="1:23">
      <c r="A2" s="399" t="s">
        <v>3</v>
      </c>
      <c r="B2" s="117">
        <v>2020</v>
      </c>
      <c r="C2" s="117">
        <v>2019</v>
      </c>
      <c r="D2" s="117">
        <v>2018</v>
      </c>
      <c r="E2" s="117">
        <v>2017</v>
      </c>
      <c r="F2" s="4">
        <v>2016</v>
      </c>
      <c r="G2" s="124">
        <v>2020</v>
      </c>
      <c r="H2" s="5">
        <v>2019</v>
      </c>
      <c r="I2" s="5">
        <v>2018</v>
      </c>
      <c r="J2" s="5">
        <v>2017</v>
      </c>
      <c r="K2" s="6">
        <v>2016</v>
      </c>
      <c r="L2" s="7">
        <v>2020</v>
      </c>
      <c r="M2" s="7">
        <v>2019</v>
      </c>
      <c r="N2" s="7">
        <v>2018</v>
      </c>
      <c r="O2" s="7">
        <v>2017</v>
      </c>
      <c r="P2" s="7">
        <v>2016</v>
      </c>
    </row>
    <row r="3" spans="1:23">
      <c r="A3" s="399"/>
      <c r="B3" s="118" t="s">
        <v>4</v>
      </c>
      <c r="C3" s="118" t="s">
        <v>4</v>
      </c>
      <c r="D3" s="118" t="s">
        <v>4</v>
      </c>
      <c r="E3" s="118" t="s">
        <v>4</v>
      </c>
      <c r="F3" s="9" t="s">
        <v>4</v>
      </c>
      <c r="G3" s="125" t="s">
        <v>4</v>
      </c>
      <c r="H3" s="10" t="s">
        <v>4</v>
      </c>
      <c r="I3" s="10" t="s">
        <v>4</v>
      </c>
      <c r="J3" s="10" t="s">
        <v>4</v>
      </c>
      <c r="K3" s="11" t="s">
        <v>4</v>
      </c>
      <c r="L3" s="12" t="s">
        <v>4</v>
      </c>
      <c r="M3" s="12" t="s">
        <v>4</v>
      </c>
      <c r="N3" s="12" t="s">
        <v>4</v>
      </c>
      <c r="O3" s="12" t="s">
        <v>4</v>
      </c>
      <c r="P3" s="12" t="s">
        <v>4</v>
      </c>
    </row>
    <row r="4" spans="1:23">
      <c r="A4" s="168" t="s">
        <v>87</v>
      </c>
      <c r="B4" s="68">
        <f>BS!B10</f>
        <v>80924</v>
      </c>
      <c r="C4" s="68">
        <f>BS!C10</f>
        <v>74992</v>
      </c>
      <c r="D4" s="68">
        <f>BS!D10</f>
        <v>75293</v>
      </c>
      <c r="E4" s="68">
        <f>BS!E10</f>
        <v>68744</v>
      </c>
      <c r="F4" s="69">
        <f>BS!F10</f>
        <v>76203</v>
      </c>
      <c r="G4" s="126">
        <f>BS!G10</f>
        <v>116744</v>
      </c>
      <c r="H4" s="70">
        <f>BS!H10</f>
        <v>114047</v>
      </c>
      <c r="I4" s="70">
        <f>BS!I10</f>
        <v>114649</v>
      </c>
      <c r="J4" s="70">
        <f>BS!J10</f>
        <v>116801</v>
      </c>
      <c r="K4" s="71">
        <f>BS!K10</f>
        <v>108461</v>
      </c>
      <c r="L4" s="72">
        <f>BS!L10</f>
        <v>26717</v>
      </c>
      <c r="M4" s="72">
        <f>BS!M10</f>
        <v>12103</v>
      </c>
      <c r="N4" s="72">
        <f>BS!N10</f>
        <v>8307</v>
      </c>
      <c r="O4" s="72">
        <f>BS!O10</f>
        <v>6570.5199999999995</v>
      </c>
      <c r="P4" s="72">
        <f>BS!P10</f>
        <v>6259.7960000000003</v>
      </c>
    </row>
    <row r="5" spans="1:23">
      <c r="A5" s="168" t="s">
        <v>88</v>
      </c>
      <c r="B5" s="68">
        <f>BS!B21</f>
        <v>79910</v>
      </c>
      <c r="C5" s="68">
        <f>BS!C21</f>
        <v>84905</v>
      </c>
      <c r="D5" s="68">
        <f>BS!D21</f>
        <v>82237</v>
      </c>
      <c r="E5" s="68">
        <f>BS!E21</f>
        <v>76890</v>
      </c>
      <c r="F5" s="69">
        <f>BS!F21</f>
        <v>85181</v>
      </c>
      <c r="G5" s="126">
        <f>BS!G21</f>
        <v>97192</v>
      </c>
      <c r="H5" s="70">
        <f>BS!H21</f>
        <v>98132</v>
      </c>
      <c r="I5" s="70">
        <f>BS!I21</f>
        <v>95569</v>
      </c>
      <c r="J5" s="70">
        <f>BS!J21</f>
        <v>94600</v>
      </c>
      <c r="K5" s="71">
        <f>BS!K21</f>
        <v>90281</v>
      </c>
      <c r="L5" s="72">
        <f>BS!L21</f>
        <v>14248</v>
      </c>
      <c r="M5" s="72">
        <f>BS!M21</f>
        <v>10667</v>
      </c>
      <c r="N5" s="72">
        <f>BS!N21</f>
        <v>9993</v>
      </c>
      <c r="O5" s="72">
        <f>BS!O21</f>
        <v>7674.67</v>
      </c>
      <c r="P5" s="72">
        <f>BS!P21</f>
        <v>5827.0050000000001</v>
      </c>
      <c r="R5" s="26"/>
      <c r="S5" s="3">
        <v>2020</v>
      </c>
      <c r="T5" s="3">
        <v>2019</v>
      </c>
      <c r="U5" s="3">
        <v>2018</v>
      </c>
      <c r="V5" s="3">
        <v>2017</v>
      </c>
      <c r="W5" s="4">
        <v>2016</v>
      </c>
    </row>
    <row r="6" spans="1:23" s="13" customFormat="1">
      <c r="A6" s="169" t="s">
        <v>86</v>
      </c>
      <c r="B6" s="113">
        <f>B4/B5</f>
        <v>1.0126892754348642</v>
      </c>
      <c r="C6" s="113">
        <f t="shared" ref="C6:P6" si="0">C4/C5</f>
        <v>0.88324598080207295</v>
      </c>
      <c r="D6" s="113">
        <f t="shared" si="0"/>
        <v>0.91556112212264551</v>
      </c>
      <c r="E6" s="113">
        <f t="shared" si="0"/>
        <v>0.89405644427103659</v>
      </c>
      <c r="F6" s="119">
        <f t="shared" si="0"/>
        <v>0.89460090865333819</v>
      </c>
      <c r="G6" s="127">
        <f t="shared" si="0"/>
        <v>1.2011688204790518</v>
      </c>
      <c r="H6" s="120">
        <f t="shared" si="0"/>
        <v>1.1621795133086048</v>
      </c>
      <c r="I6" s="120">
        <f t="shared" si="0"/>
        <v>1.1996463288304784</v>
      </c>
      <c r="J6" s="120">
        <f t="shared" si="0"/>
        <v>1.2346828752642707</v>
      </c>
      <c r="K6" s="128">
        <f t="shared" si="0"/>
        <v>1.2013712741329847</v>
      </c>
      <c r="L6" s="132">
        <f t="shared" si="0"/>
        <v>1.8751403705783267</v>
      </c>
      <c r="M6" s="132">
        <f t="shared" si="0"/>
        <v>1.1346207931002157</v>
      </c>
      <c r="N6" s="132">
        <f t="shared" si="0"/>
        <v>0.83128189732812974</v>
      </c>
      <c r="O6" s="132">
        <f t="shared" si="0"/>
        <v>0.85613062190296119</v>
      </c>
      <c r="P6" s="132">
        <f t="shared" si="0"/>
        <v>1.0742733187975642</v>
      </c>
      <c r="R6" s="26" t="s">
        <v>0</v>
      </c>
      <c r="S6" s="90">
        <v>69.531646347066456</v>
      </c>
      <c r="T6" s="90">
        <v>57.379527055123326</v>
      </c>
      <c r="U6" s="90">
        <v>48.637636640336034</v>
      </c>
      <c r="V6" s="90">
        <v>33.895621153274433</v>
      </c>
      <c r="W6" s="90">
        <v>26.268419703827817</v>
      </c>
    </row>
    <row r="7" spans="1:23">
      <c r="A7" s="168" t="s">
        <v>87</v>
      </c>
      <c r="B7" s="68">
        <f>B4</f>
        <v>80924</v>
      </c>
      <c r="C7" s="68">
        <f t="shared" ref="C7:P7" si="1">C4</f>
        <v>74992</v>
      </c>
      <c r="D7" s="68">
        <f t="shared" si="1"/>
        <v>75293</v>
      </c>
      <c r="E7" s="68">
        <f t="shared" si="1"/>
        <v>68744</v>
      </c>
      <c r="F7" s="69">
        <f t="shared" si="1"/>
        <v>76203</v>
      </c>
      <c r="G7" s="126">
        <f t="shared" si="1"/>
        <v>116744</v>
      </c>
      <c r="H7" s="70">
        <f t="shared" si="1"/>
        <v>114047</v>
      </c>
      <c r="I7" s="70">
        <f t="shared" si="1"/>
        <v>114649</v>
      </c>
      <c r="J7" s="70">
        <f t="shared" si="1"/>
        <v>116801</v>
      </c>
      <c r="K7" s="71">
        <f t="shared" si="1"/>
        <v>108461</v>
      </c>
      <c r="L7" s="72">
        <f t="shared" si="1"/>
        <v>26717</v>
      </c>
      <c r="M7" s="72">
        <f t="shared" si="1"/>
        <v>12103</v>
      </c>
      <c r="N7" s="72">
        <f t="shared" si="1"/>
        <v>8307</v>
      </c>
      <c r="O7" s="72">
        <f t="shared" si="1"/>
        <v>6570.5199999999995</v>
      </c>
      <c r="P7" s="72">
        <f t="shared" si="1"/>
        <v>6259.7960000000003</v>
      </c>
      <c r="R7" s="26" t="s">
        <v>1</v>
      </c>
      <c r="S7" s="90">
        <v>-8.2035411326781968</v>
      </c>
      <c r="T7" s="90">
        <v>-5.1663721198746018</v>
      </c>
      <c r="U7" s="90">
        <v>-2.1040561026848863</v>
      </c>
      <c r="V7" s="90">
        <v>-8.9718134936935243</v>
      </c>
      <c r="W7" s="90">
        <v>-9.1648123856876893</v>
      </c>
    </row>
    <row r="8" spans="1:23">
      <c r="A8" s="168" t="s">
        <v>110</v>
      </c>
      <c r="B8" s="68">
        <f>BS!B7</f>
        <v>10235</v>
      </c>
      <c r="C8" s="68">
        <f>BS!C7</f>
        <v>10398</v>
      </c>
      <c r="D8" s="68">
        <f>BS!D7</f>
        <v>9816</v>
      </c>
      <c r="E8" s="68">
        <f>BS!E7</f>
        <v>10663</v>
      </c>
      <c r="F8" s="69">
        <f>BS!F7</f>
        <v>11040</v>
      </c>
      <c r="G8" s="126">
        <f>BS!G7</f>
        <v>10808</v>
      </c>
      <c r="H8" s="70">
        <f>BS!H7</f>
        <v>10786</v>
      </c>
      <c r="I8" s="70">
        <f>BS!I7</f>
        <v>11220</v>
      </c>
      <c r="J8" s="70">
        <f>BS!J7</f>
        <v>11176</v>
      </c>
      <c r="K8" s="71">
        <f>BS!K7</f>
        <v>8898</v>
      </c>
      <c r="L8" s="72">
        <f>BS!L7</f>
        <v>4101</v>
      </c>
      <c r="M8" s="72">
        <f>BS!M7</f>
        <v>3552</v>
      </c>
      <c r="N8" s="72">
        <f>BS!N7</f>
        <v>3113</v>
      </c>
      <c r="O8" s="72">
        <f>BS!O7</f>
        <v>2263.5369999999998</v>
      </c>
      <c r="P8" s="72">
        <f>BS!P7</f>
        <v>2067.4540000000002</v>
      </c>
      <c r="R8" s="26" t="s">
        <v>2</v>
      </c>
      <c r="S8" s="90">
        <v>-6.7487475128706222</v>
      </c>
      <c r="T8" s="90">
        <v>15.764742447521229</v>
      </c>
      <c r="U8" s="90">
        <v>10.042555829626963</v>
      </c>
      <c r="V8" s="90">
        <v>11.15695565358584</v>
      </c>
      <c r="W8" s="90">
        <v>40.046281151411861</v>
      </c>
    </row>
    <row r="9" spans="1:23">
      <c r="B9" s="68">
        <f>B7-B8</f>
        <v>70689</v>
      </c>
      <c r="C9" s="68">
        <f t="shared" ref="C9:P9" si="2">C7-C8</f>
        <v>64594</v>
      </c>
      <c r="D9" s="68">
        <f t="shared" si="2"/>
        <v>65477</v>
      </c>
      <c r="E9" s="68">
        <f t="shared" si="2"/>
        <v>58081</v>
      </c>
      <c r="F9" s="69">
        <f t="shared" si="2"/>
        <v>65163</v>
      </c>
      <c r="G9" s="126">
        <f t="shared" si="2"/>
        <v>105936</v>
      </c>
      <c r="H9" s="70">
        <f t="shared" si="2"/>
        <v>103261</v>
      </c>
      <c r="I9" s="70">
        <f t="shared" si="2"/>
        <v>103429</v>
      </c>
      <c r="J9" s="70">
        <f t="shared" si="2"/>
        <v>105625</v>
      </c>
      <c r="K9" s="71">
        <f t="shared" si="2"/>
        <v>99563</v>
      </c>
      <c r="L9" s="72">
        <f t="shared" si="2"/>
        <v>22616</v>
      </c>
      <c r="M9" s="72">
        <f t="shared" si="2"/>
        <v>8551</v>
      </c>
      <c r="N9" s="72">
        <f t="shared" si="2"/>
        <v>5194</v>
      </c>
      <c r="O9" s="72">
        <f t="shared" si="2"/>
        <v>4306.9830000000002</v>
      </c>
      <c r="P9" s="72">
        <f t="shared" si="2"/>
        <v>4192.3420000000006</v>
      </c>
    </row>
    <row r="10" spans="1:23">
      <c r="A10" s="168" t="s">
        <v>88</v>
      </c>
      <c r="B10" s="68">
        <f>B5</f>
        <v>79910</v>
      </c>
      <c r="C10" s="68">
        <f t="shared" ref="C10:P10" si="3">C5</f>
        <v>84905</v>
      </c>
      <c r="D10" s="68">
        <f t="shared" si="3"/>
        <v>82237</v>
      </c>
      <c r="E10" s="68">
        <f t="shared" si="3"/>
        <v>76890</v>
      </c>
      <c r="F10" s="69">
        <f t="shared" si="3"/>
        <v>85181</v>
      </c>
      <c r="G10" s="126">
        <f t="shared" si="3"/>
        <v>97192</v>
      </c>
      <c r="H10" s="70">
        <f t="shared" si="3"/>
        <v>98132</v>
      </c>
      <c r="I10" s="70">
        <f t="shared" si="3"/>
        <v>95569</v>
      </c>
      <c r="J10" s="70">
        <f t="shared" si="3"/>
        <v>94600</v>
      </c>
      <c r="K10" s="71">
        <f t="shared" si="3"/>
        <v>90281</v>
      </c>
      <c r="L10" s="72">
        <f t="shared" si="3"/>
        <v>14248</v>
      </c>
      <c r="M10" s="72">
        <f t="shared" si="3"/>
        <v>10667</v>
      </c>
      <c r="N10" s="72">
        <f t="shared" si="3"/>
        <v>9993</v>
      </c>
      <c r="O10" s="72">
        <f t="shared" si="3"/>
        <v>7674.67</v>
      </c>
      <c r="P10" s="72">
        <f t="shared" si="3"/>
        <v>5827.0050000000001</v>
      </c>
    </row>
    <row r="11" spans="1:23" s="13" customFormat="1">
      <c r="A11" s="169" t="s">
        <v>109</v>
      </c>
      <c r="B11" s="113">
        <f>B9/B10</f>
        <v>0.88460768364409958</v>
      </c>
      <c r="C11" s="113">
        <f t="shared" ref="C11:P11" si="4">C9/C10</f>
        <v>0.76077969495318298</v>
      </c>
      <c r="D11" s="113">
        <f t="shared" si="4"/>
        <v>0.79619879129832072</v>
      </c>
      <c r="E11" s="113">
        <f t="shared" si="4"/>
        <v>0.75537781245935753</v>
      </c>
      <c r="F11" s="119">
        <f t="shared" si="4"/>
        <v>0.76499454103614661</v>
      </c>
      <c r="G11" s="127">
        <f t="shared" si="4"/>
        <v>1.08996625236645</v>
      </c>
      <c r="H11" s="120">
        <f t="shared" si="4"/>
        <v>1.0522663351404231</v>
      </c>
      <c r="I11" s="120">
        <f t="shared" si="4"/>
        <v>1.0822442423798513</v>
      </c>
      <c r="J11" s="120">
        <f t="shared" si="4"/>
        <v>1.1165433403805496</v>
      </c>
      <c r="K11" s="128">
        <f t="shared" si="4"/>
        <v>1.1028123303906692</v>
      </c>
      <c r="L11" s="132">
        <f t="shared" si="4"/>
        <v>1.5873104997192589</v>
      </c>
      <c r="M11" s="132">
        <f t="shared" si="4"/>
        <v>0.80163119902503044</v>
      </c>
      <c r="N11" s="132">
        <f t="shared" si="4"/>
        <v>0.519763834684279</v>
      </c>
      <c r="O11" s="132">
        <f t="shared" si="4"/>
        <v>0.5611945529905521</v>
      </c>
      <c r="P11" s="132">
        <f t="shared" si="4"/>
        <v>0.71946771969476608</v>
      </c>
    </row>
    <row r="12" spans="1:23">
      <c r="A12" s="168" t="s">
        <v>136</v>
      </c>
      <c r="B12" s="68">
        <f>CF!B13</f>
        <v>16670</v>
      </c>
      <c r="C12" s="68">
        <f>CF!C13</f>
        <v>15021</v>
      </c>
      <c r="D12" s="68">
        <f>CF!D13</f>
        <v>15256</v>
      </c>
      <c r="E12" s="68">
        <f>CF!E13</f>
        <v>17328</v>
      </c>
      <c r="F12" s="69">
        <f>CF!F13</f>
        <v>16607</v>
      </c>
      <c r="G12" s="126">
        <f>CF!G13</f>
        <v>24269</v>
      </c>
      <c r="H12" s="70">
        <f>CF!H13</f>
        <v>17639</v>
      </c>
      <c r="I12" s="70">
        <f>CF!I13</f>
        <v>15022</v>
      </c>
      <c r="J12" s="70">
        <f>CF!J13</f>
        <v>18096</v>
      </c>
      <c r="K12" s="71">
        <f>CF!K13</f>
        <v>19850</v>
      </c>
      <c r="L12" s="72">
        <f>CF!L13</f>
        <v>5943</v>
      </c>
      <c r="M12" s="72">
        <f>CF!M13</f>
        <v>2405</v>
      </c>
      <c r="N12" s="72">
        <f>CF!N13</f>
        <v>2098</v>
      </c>
      <c r="O12" s="72">
        <f>CF!O13</f>
        <v>-61</v>
      </c>
      <c r="P12" s="72">
        <f>CF!P13</f>
        <v>-123.82899999999999</v>
      </c>
    </row>
    <row r="13" spans="1:23">
      <c r="A13" s="169" t="s">
        <v>161</v>
      </c>
      <c r="B13" s="68">
        <f>B4-B5</f>
        <v>1014</v>
      </c>
      <c r="C13" s="68">
        <f t="shared" ref="C13:F13" si="5">C4-C5</f>
        <v>-9913</v>
      </c>
      <c r="D13" s="68">
        <f t="shared" si="5"/>
        <v>-6944</v>
      </c>
      <c r="E13" s="68">
        <f t="shared" si="5"/>
        <v>-8146</v>
      </c>
      <c r="F13" s="68">
        <f t="shared" si="5"/>
        <v>-8978</v>
      </c>
      <c r="G13" s="126">
        <f t="shared" ref="G13:L13" si="6">G4-G5</f>
        <v>19552</v>
      </c>
      <c r="H13" s="70">
        <f t="shared" si="6"/>
        <v>15915</v>
      </c>
      <c r="I13" s="70">
        <f t="shared" si="6"/>
        <v>19080</v>
      </c>
      <c r="J13" s="70">
        <f t="shared" si="6"/>
        <v>22201</v>
      </c>
      <c r="K13" s="71">
        <f t="shared" si="6"/>
        <v>18180</v>
      </c>
      <c r="L13" s="72">
        <f t="shared" si="6"/>
        <v>12469</v>
      </c>
      <c r="M13" s="72">
        <f t="shared" ref="M13:P13" si="7">M4-M5</f>
        <v>1436</v>
      </c>
      <c r="N13" s="72">
        <f t="shared" si="7"/>
        <v>-1686</v>
      </c>
      <c r="O13" s="72">
        <f t="shared" si="7"/>
        <v>-1104.1500000000005</v>
      </c>
      <c r="P13" s="72">
        <f t="shared" si="7"/>
        <v>432.79100000000017</v>
      </c>
    </row>
    <row r="14" spans="1:23" s="13" customFormat="1">
      <c r="A14" s="169" t="s">
        <v>137</v>
      </c>
      <c r="B14" s="113">
        <f>B12/B10</f>
        <v>0.2086096858966337</v>
      </c>
      <c r="C14" s="113">
        <f t="shared" ref="C14:P14" si="8">C12/C10</f>
        <v>0.17691537600848006</v>
      </c>
      <c r="D14" s="113">
        <f t="shared" si="8"/>
        <v>0.18551260381580068</v>
      </c>
      <c r="E14" s="113">
        <f t="shared" si="8"/>
        <v>0.22536090518923138</v>
      </c>
      <c r="F14" s="119">
        <f t="shared" si="8"/>
        <v>0.19496131766473745</v>
      </c>
      <c r="G14" s="127">
        <f t="shared" si="8"/>
        <v>0.24970162153263642</v>
      </c>
      <c r="H14" s="120">
        <f t="shared" si="8"/>
        <v>0.17974768678922268</v>
      </c>
      <c r="I14" s="120">
        <f t="shared" si="8"/>
        <v>0.15718486119976144</v>
      </c>
      <c r="J14" s="120">
        <f t="shared" si="8"/>
        <v>0.19128964059196618</v>
      </c>
      <c r="K14" s="128">
        <f t="shared" si="8"/>
        <v>0.21986907544223036</v>
      </c>
      <c r="L14" s="132">
        <f t="shared" si="8"/>
        <v>0.41711117349803484</v>
      </c>
      <c r="M14" s="132">
        <f t="shared" si="8"/>
        <v>0.22546170432173995</v>
      </c>
      <c r="N14" s="132">
        <f t="shared" si="8"/>
        <v>0.20994696287401182</v>
      </c>
      <c r="O14" s="132">
        <f t="shared" si="8"/>
        <v>-7.9482244839191776E-3</v>
      </c>
      <c r="P14" s="132">
        <f t="shared" si="8"/>
        <v>-2.125088274336473E-2</v>
      </c>
    </row>
    <row r="15" spans="1:23">
      <c r="A15" s="171" t="s">
        <v>26</v>
      </c>
      <c r="B15" s="114">
        <f t="shared" ref="B15:P15" si="9">B8</f>
        <v>10235</v>
      </c>
      <c r="C15" s="114">
        <f t="shared" si="9"/>
        <v>10398</v>
      </c>
      <c r="D15" s="114">
        <f t="shared" si="9"/>
        <v>9816</v>
      </c>
      <c r="E15" s="114">
        <f t="shared" si="9"/>
        <v>10663</v>
      </c>
      <c r="F15" s="22">
        <f t="shared" si="9"/>
        <v>11040</v>
      </c>
      <c r="G15" s="129">
        <f t="shared" si="9"/>
        <v>10808</v>
      </c>
      <c r="H15" s="121">
        <f t="shared" si="9"/>
        <v>10786</v>
      </c>
      <c r="I15" s="121">
        <f t="shared" si="9"/>
        <v>11220</v>
      </c>
      <c r="J15" s="121">
        <f t="shared" si="9"/>
        <v>11176</v>
      </c>
      <c r="K15" s="24">
        <f t="shared" si="9"/>
        <v>8898</v>
      </c>
      <c r="L15" s="133">
        <f t="shared" si="9"/>
        <v>4101</v>
      </c>
      <c r="M15" s="133">
        <f t="shared" si="9"/>
        <v>3552</v>
      </c>
      <c r="N15" s="133">
        <f t="shared" si="9"/>
        <v>3113</v>
      </c>
      <c r="O15" s="133">
        <f t="shared" si="9"/>
        <v>2263.5369999999998</v>
      </c>
      <c r="P15" s="133">
        <f t="shared" si="9"/>
        <v>2067.4540000000002</v>
      </c>
    </row>
    <row r="16" spans="1:23">
      <c r="A16" s="171" t="s">
        <v>89</v>
      </c>
      <c r="B16" s="114">
        <f>IS!B5</f>
        <v>108813</v>
      </c>
      <c r="C16" s="114">
        <f>IS!C5</f>
        <v>123265</v>
      </c>
      <c r="D16" s="114">
        <f>IS!D5</f>
        <v>132954</v>
      </c>
      <c r="E16" s="114">
        <f>IS!E5</f>
        <v>127357</v>
      </c>
      <c r="F16" s="22">
        <f>IS!F5</f>
        <v>130153</v>
      </c>
      <c r="G16" s="129">
        <f>IS!G5</f>
        <v>112752</v>
      </c>
      <c r="H16" s="121">
        <f>IS!H5</f>
        <v>134693</v>
      </c>
      <c r="I16" s="121">
        <f>IS!I5</f>
        <v>136269</v>
      </c>
      <c r="J16" s="121">
        <f>IS!J5</f>
        <v>131321</v>
      </c>
      <c r="K16" s="24">
        <f>IS!K5</f>
        <v>126195</v>
      </c>
      <c r="L16" s="133">
        <f>IS!L5</f>
        <v>24906</v>
      </c>
      <c r="M16" s="133">
        <f>IS!M5</f>
        <v>20509</v>
      </c>
      <c r="N16" s="133">
        <f>IS!N5</f>
        <v>17419</v>
      </c>
      <c r="O16" s="133">
        <f>IS!O5</f>
        <v>9536</v>
      </c>
      <c r="P16" s="133">
        <f>IS!P5</f>
        <v>5400.875</v>
      </c>
    </row>
    <row r="17" spans="1:24" s="13" customFormat="1">
      <c r="A17" s="172" t="s">
        <v>90</v>
      </c>
      <c r="B17" s="115">
        <f>B15*365/B16</f>
        <v>34.332065102515323</v>
      </c>
      <c r="C17" s="115">
        <f t="shared" ref="C17:P17" si="10">C15*365/C16</f>
        <v>30.789518517016184</v>
      </c>
      <c r="D17" s="115">
        <f t="shared" si="10"/>
        <v>26.947966966018321</v>
      </c>
      <c r="E17" s="115">
        <f t="shared" si="10"/>
        <v>30.559725810124295</v>
      </c>
      <c r="F17" s="94">
        <f t="shared" si="10"/>
        <v>30.960484967691869</v>
      </c>
      <c r="G17" s="130">
        <f t="shared" si="10"/>
        <v>34.987583368809425</v>
      </c>
      <c r="H17" s="122">
        <f t="shared" si="10"/>
        <v>29.228616186438792</v>
      </c>
      <c r="I17" s="122">
        <f t="shared" si="10"/>
        <v>30.053056821434076</v>
      </c>
      <c r="J17" s="122">
        <f t="shared" si="10"/>
        <v>31.063120140723875</v>
      </c>
      <c r="K17" s="96">
        <f t="shared" si="10"/>
        <v>25.736122667300606</v>
      </c>
      <c r="L17" s="134">
        <f t="shared" si="10"/>
        <v>60.100578173933989</v>
      </c>
      <c r="M17" s="134">
        <f t="shared" si="10"/>
        <v>63.215173826125117</v>
      </c>
      <c r="N17" s="134">
        <f t="shared" si="10"/>
        <v>65.230208393133935</v>
      </c>
      <c r="O17" s="134">
        <f t="shared" si="10"/>
        <v>86.639157403523484</v>
      </c>
      <c r="P17" s="134">
        <f t="shared" si="10"/>
        <v>139.72193579744024</v>
      </c>
    </row>
    <row r="18" spans="1:24">
      <c r="A18" s="171" t="s">
        <v>92</v>
      </c>
      <c r="B18" s="114">
        <f>BS!B5</f>
        <v>34244</v>
      </c>
      <c r="C18" s="114">
        <f>BS!C5</f>
        <v>33398</v>
      </c>
      <c r="D18" s="114">
        <f>BS!D5</f>
        <v>33399</v>
      </c>
      <c r="E18" s="114">
        <f>BS!E5</f>
        <v>28685</v>
      </c>
      <c r="F18" s="22">
        <f>BS!F5</f>
        <v>24827</v>
      </c>
      <c r="G18" s="129">
        <f>BS!G5</f>
        <v>9993</v>
      </c>
      <c r="H18" s="121">
        <f>BS!H5</f>
        <v>9237</v>
      </c>
      <c r="I18" s="121">
        <f>BS!I5</f>
        <v>11195</v>
      </c>
      <c r="J18" s="121">
        <f>BS!J5</f>
        <v>10599</v>
      </c>
      <c r="K18" s="24">
        <f>BS!K5</f>
        <v>11102</v>
      </c>
      <c r="L18" s="133">
        <f>BS!L5</f>
        <v>1886</v>
      </c>
      <c r="M18" s="133">
        <f>BS!M5</f>
        <v>1324</v>
      </c>
      <c r="N18" s="133">
        <f>BS!N5</f>
        <v>949</v>
      </c>
      <c r="O18" s="133">
        <f>BS!O5</f>
        <v>515.38099999999997</v>
      </c>
      <c r="P18" s="133">
        <f>BS!P5</f>
        <v>499.142</v>
      </c>
    </row>
    <row r="19" spans="1:24">
      <c r="A19" s="171" t="s">
        <v>93</v>
      </c>
      <c r="B19" s="114">
        <f>IS!B4</f>
        <v>122485</v>
      </c>
      <c r="C19" s="114">
        <f>IS!C4</f>
        <v>137237</v>
      </c>
      <c r="D19" s="114">
        <f>IS!D4</f>
        <v>147049</v>
      </c>
      <c r="E19" s="114">
        <f>IS!E4</f>
        <v>145588</v>
      </c>
      <c r="F19" s="22">
        <f>IS!F4</f>
        <v>149184</v>
      </c>
      <c r="G19" s="129">
        <f>IS!G4</f>
        <v>127144</v>
      </c>
      <c r="H19" s="121">
        <f>IS!H4</f>
        <v>155900</v>
      </c>
      <c r="I19" s="121">
        <f>IS!I4</f>
        <v>160338</v>
      </c>
      <c r="J19" s="121">
        <f>IS!J4</f>
        <v>156776</v>
      </c>
      <c r="K19" s="24">
        <f>IS!K4</f>
        <v>151800</v>
      </c>
      <c r="L19" s="133">
        <f>IS!L4</f>
        <v>31536</v>
      </c>
      <c r="M19" s="133">
        <f>IS!M4</f>
        <v>24578</v>
      </c>
      <c r="N19" s="133">
        <f>IS!N4</f>
        <v>21461</v>
      </c>
      <c r="O19" s="133">
        <f>IS!O4</f>
        <v>11759</v>
      </c>
      <c r="P19" s="133">
        <f>IS!P4</f>
        <v>7000.1319999999996</v>
      </c>
    </row>
    <row r="20" spans="1:24" s="13" customFormat="1">
      <c r="A20" s="172" t="s">
        <v>91</v>
      </c>
      <c r="B20" s="115">
        <f>B18*365/B19</f>
        <v>102.04563824141732</v>
      </c>
      <c r="C20" s="115">
        <f t="shared" ref="C20:P20" si="11">C18*365/C19</f>
        <v>88.826409787447986</v>
      </c>
      <c r="D20" s="115">
        <f t="shared" si="11"/>
        <v>82.901855843970381</v>
      </c>
      <c r="E20" s="115">
        <f t="shared" si="11"/>
        <v>71.915439459296095</v>
      </c>
      <c r="F20" s="94">
        <f t="shared" si="11"/>
        <v>60.742807539682538</v>
      </c>
      <c r="G20" s="130">
        <f t="shared" si="11"/>
        <v>28.687511797646764</v>
      </c>
      <c r="H20" s="122">
        <f t="shared" si="11"/>
        <v>21.626074406670941</v>
      </c>
      <c r="I20" s="122">
        <f t="shared" si="11"/>
        <v>25.484757200414126</v>
      </c>
      <c r="J20" s="122">
        <f t="shared" si="11"/>
        <v>24.676194060315353</v>
      </c>
      <c r="K20" s="96">
        <f t="shared" si="11"/>
        <v>26.694532279314888</v>
      </c>
      <c r="L20" s="134">
        <f t="shared" si="11"/>
        <v>21.828703703703702</v>
      </c>
      <c r="M20" s="134">
        <f t="shared" si="11"/>
        <v>19.662299617544146</v>
      </c>
      <c r="N20" s="134">
        <f t="shared" si="11"/>
        <v>16.140207818834163</v>
      </c>
      <c r="O20" s="134">
        <f t="shared" si="11"/>
        <v>15.997454290330811</v>
      </c>
      <c r="P20" s="134">
        <f t="shared" si="11"/>
        <v>26.026199220243274</v>
      </c>
    </row>
    <row r="21" spans="1:24" s="14" customFormat="1">
      <c r="A21" s="171" t="s">
        <v>95</v>
      </c>
      <c r="B21" s="114">
        <f>BS!B18</f>
        <v>19928</v>
      </c>
      <c r="C21" s="114">
        <f>BS!C18</f>
        <v>21018</v>
      </c>
      <c r="D21" s="114">
        <f>BS!D18</f>
        <v>22297</v>
      </c>
      <c r="E21" s="114">
        <f>BS!E18</f>
        <v>23929</v>
      </c>
      <c r="F21" s="22">
        <f>BS!F18</f>
        <v>23333</v>
      </c>
      <c r="G21" s="121">
        <f>BS!G18</f>
        <v>22204</v>
      </c>
      <c r="H21" s="121">
        <f>BS!H18</f>
        <v>20673</v>
      </c>
      <c r="I21" s="121">
        <f>BS!I18</f>
        <v>21520</v>
      </c>
      <c r="J21" s="121">
        <f>BS!J18</f>
        <v>23282</v>
      </c>
      <c r="K21" s="24">
        <f>BS!K18</f>
        <v>21296</v>
      </c>
      <c r="L21" s="133">
        <f>BS!L18</f>
        <v>6051</v>
      </c>
      <c r="M21" s="133">
        <f>BS!M18</f>
        <v>3771</v>
      </c>
      <c r="N21" s="133">
        <f>BS!N18</f>
        <v>3404</v>
      </c>
      <c r="O21" s="133">
        <f>BS!O18</f>
        <v>2390</v>
      </c>
      <c r="P21" s="133">
        <f>BS!P18</f>
        <v>1860</v>
      </c>
    </row>
    <row r="22" spans="1:24">
      <c r="A22" s="171" t="s">
        <v>89</v>
      </c>
      <c r="B22" s="114">
        <f>B16</f>
        <v>108813</v>
      </c>
      <c r="C22" s="114">
        <f t="shared" ref="C22:P22" si="12">C16</f>
        <v>123265</v>
      </c>
      <c r="D22" s="114">
        <f t="shared" si="12"/>
        <v>132954</v>
      </c>
      <c r="E22" s="114">
        <f t="shared" si="12"/>
        <v>127357</v>
      </c>
      <c r="F22" s="22">
        <f t="shared" si="12"/>
        <v>130153</v>
      </c>
      <c r="G22" s="129">
        <f t="shared" si="12"/>
        <v>112752</v>
      </c>
      <c r="H22" s="121">
        <f t="shared" si="12"/>
        <v>134693</v>
      </c>
      <c r="I22" s="121">
        <f t="shared" si="12"/>
        <v>136269</v>
      </c>
      <c r="J22" s="121">
        <f t="shared" si="12"/>
        <v>131321</v>
      </c>
      <c r="K22" s="24">
        <f t="shared" si="12"/>
        <v>126195</v>
      </c>
      <c r="L22" s="133">
        <f t="shared" si="12"/>
        <v>24906</v>
      </c>
      <c r="M22" s="133">
        <f t="shared" si="12"/>
        <v>20509</v>
      </c>
      <c r="N22" s="133">
        <f t="shared" si="12"/>
        <v>17419</v>
      </c>
      <c r="O22" s="133">
        <f t="shared" si="12"/>
        <v>9536</v>
      </c>
      <c r="P22" s="133">
        <f t="shared" si="12"/>
        <v>5400.875</v>
      </c>
    </row>
    <row r="23" spans="1:24" s="13" customFormat="1">
      <c r="A23" s="172" t="s">
        <v>94</v>
      </c>
      <c r="B23" s="115">
        <f>B21*365/B22</f>
        <v>66.846056996866182</v>
      </c>
      <c r="C23" s="115">
        <f t="shared" ref="C23:P23" si="13">C21*365/C22</f>
        <v>62.236401249340851</v>
      </c>
      <c r="D23" s="115">
        <f t="shared" si="13"/>
        <v>61.212186169652661</v>
      </c>
      <c r="E23" s="115">
        <f t="shared" si="13"/>
        <v>68.579544116145954</v>
      </c>
      <c r="F23" s="94">
        <f t="shared" si="13"/>
        <v>65.434872803546597</v>
      </c>
      <c r="G23" s="130">
        <f t="shared" si="13"/>
        <v>71.878636299134385</v>
      </c>
      <c r="H23" s="122">
        <f t="shared" si="13"/>
        <v>56.021062712984339</v>
      </c>
      <c r="I23" s="122">
        <f t="shared" si="13"/>
        <v>57.641870124533092</v>
      </c>
      <c r="J23" s="122">
        <f t="shared" si="13"/>
        <v>64.711127694732753</v>
      </c>
      <c r="K23" s="96">
        <f t="shared" si="13"/>
        <v>61.59546733230318</v>
      </c>
      <c r="L23" s="134">
        <f t="shared" si="13"/>
        <v>88.678029390508314</v>
      </c>
      <c r="M23" s="134">
        <f t="shared" si="13"/>
        <v>67.112730996148031</v>
      </c>
      <c r="N23" s="134">
        <f t="shared" si="13"/>
        <v>71.327860382341129</v>
      </c>
      <c r="O23" s="134">
        <f t="shared" si="13"/>
        <v>91.479656040268452</v>
      </c>
      <c r="P23" s="134">
        <f t="shared" si="13"/>
        <v>125.70185386627166</v>
      </c>
    </row>
    <row r="24" spans="1:24">
      <c r="A24" s="172" t="s">
        <v>96</v>
      </c>
      <c r="B24" s="115">
        <f>B17+B20-B23</f>
        <v>69.531646347066456</v>
      </c>
      <c r="C24" s="115">
        <f t="shared" ref="C24:P24" si="14">C17+C20-C23</f>
        <v>57.379527055123326</v>
      </c>
      <c r="D24" s="115">
        <f t="shared" si="14"/>
        <v>48.637636640336034</v>
      </c>
      <c r="E24" s="115">
        <f t="shared" si="14"/>
        <v>33.895621153274433</v>
      </c>
      <c r="F24" s="94">
        <f t="shared" si="14"/>
        <v>26.268419703827817</v>
      </c>
      <c r="G24" s="130">
        <f t="shared" si="14"/>
        <v>-8.2035411326781968</v>
      </c>
      <c r="H24" s="122">
        <f t="shared" si="14"/>
        <v>-5.1663721198746018</v>
      </c>
      <c r="I24" s="122">
        <f t="shared" si="14"/>
        <v>-2.1040561026848863</v>
      </c>
      <c r="J24" s="122">
        <f t="shared" si="14"/>
        <v>-8.9718134936935243</v>
      </c>
      <c r="K24" s="96">
        <f t="shared" si="14"/>
        <v>-9.1648123856876893</v>
      </c>
      <c r="L24" s="134">
        <f t="shared" si="14"/>
        <v>-6.7487475128706222</v>
      </c>
      <c r="M24" s="134">
        <f t="shared" si="14"/>
        <v>15.764742447521229</v>
      </c>
      <c r="N24" s="134">
        <f t="shared" si="14"/>
        <v>10.042555829626963</v>
      </c>
      <c r="O24" s="134">
        <f t="shared" si="14"/>
        <v>11.15695565358584</v>
      </c>
      <c r="P24" s="134">
        <f t="shared" si="14"/>
        <v>40.046281151411861</v>
      </c>
    </row>
    <row r="25" spans="1:24" s="26" customFormat="1">
      <c r="A25" s="160" t="s">
        <v>97</v>
      </c>
      <c r="B25" s="68">
        <f>IS!B4</f>
        <v>122485</v>
      </c>
      <c r="C25" s="68">
        <f>IS!C4</f>
        <v>137237</v>
      </c>
      <c r="D25" s="68">
        <f>IS!D4</f>
        <v>147049</v>
      </c>
      <c r="E25" s="68">
        <f>IS!E4</f>
        <v>145588</v>
      </c>
      <c r="F25" s="69">
        <f>IS!F4</f>
        <v>149184</v>
      </c>
      <c r="G25" s="126">
        <f>IS!G4</f>
        <v>127144</v>
      </c>
      <c r="H25" s="70">
        <f>IS!H4</f>
        <v>155900</v>
      </c>
      <c r="I25" s="70">
        <f>IS!I4</f>
        <v>160338</v>
      </c>
      <c r="J25" s="70">
        <f>IS!J4</f>
        <v>156776</v>
      </c>
      <c r="K25" s="71">
        <f>IS!K4</f>
        <v>151800</v>
      </c>
      <c r="L25" s="72">
        <f>IS!L4</f>
        <v>31536</v>
      </c>
      <c r="M25" s="72">
        <f>IS!M4</f>
        <v>24578</v>
      </c>
      <c r="N25" s="72">
        <f>IS!N4</f>
        <v>21461</v>
      </c>
      <c r="O25" s="72">
        <f>IS!O4</f>
        <v>11759</v>
      </c>
      <c r="P25" s="72">
        <f>IS!P4</f>
        <v>7000.1319999999996</v>
      </c>
      <c r="S25" s="401" t="s">
        <v>165</v>
      </c>
      <c r="T25" s="401"/>
      <c r="U25" s="401"/>
      <c r="V25" s="401"/>
      <c r="W25" s="401"/>
    </row>
    <row r="26" spans="1:24" s="26" customFormat="1">
      <c r="A26" s="160" t="s">
        <v>103</v>
      </c>
      <c r="B26" s="68">
        <f>BS!B17</f>
        <v>235194</v>
      </c>
      <c r="C26" s="68">
        <f>BS!C17</f>
        <v>228037</v>
      </c>
      <c r="D26" s="68">
        <f>BS!D17</f>
        <v>227339</v>
      </c>
      <c r="E26" s="68">
        <f>BS!E17</f>
        <v>212482</v>
      </c>
      <c r="F26" s="69">
        <f>BS!F17</f>
        <v>221690</v>
      </c>
      <c r="G26" s="126">
        <f>BS!G17</f>
        <v>267261</v>
      </c>
      <c r="H26" s="70">
        <f>BS!H17</f>
        <v>258537</v>
      </c>
      <c r="I26" s="70">
        <f>BS!I17</f>
        <v>256540</v>
      </c>
      <c r="J26" s="70">
        <f>BS!J17</f>
        <v>258496</v>
      </c>
      <c r="K26" s="71">
        <f>BS!K17</f>
        <v>237951</v>
      </c>
      <c r="L26" s="72">
        <f>BS!L17</f>
        <v>52148</v>
      </c>
      <c r="M26" s="72">
        <f>BS!M17</f>
        <v>34309</v>
      </c>
      <c r="N26" s="72">
        <f>BS!N17</f>
        <v>29740</v>
      </c>
      <c r="O26" s="72">
        <f>BS!O17</f>
        <v>28655.37</v>
      </c>
      <c r="P26" s="72">
        <f>BS!P17</f>
        <v>22664.076000000001</v>
      </c>
      <c r="S26" s="3">
        <v>2020</v>
      </c>
      <c r="T26" s="3">
        <v>2019</v>
      </c>
      <c r="U26" s="3">
        <v>2018</v>
      </c>
      <c r="V26" s="3">
        <v>2017</v>
      </c>
      <c r="W26" s="4">
        <v>2016</v>
      </c>
    </row>
    <row r="27" spans="1:24" s="53" customFormat="1">
      <c r="A27" s="165" t="s">
        <v>105</v>
      </c>
      <c r="B27" s="113">
        <f>B25/B26</f>
        <v>0.52078284309973899</v>
      </c>
      <c r="C27" s="113">
        <f t="shared" ref="C27:P27" si="15">C25/C26</f>
        <v>0.60181900305652158</v>
      </c>
      <c r="D27" s="113">
        <f t="shared" si="15"/>
        <v>0.64682698525110083</v>
      </c>
      <c r="E27" s="113">
        <f t="shared" si="15"/>
        <v>0.68517803861032933</v>
      </c>
      <c r="F27" s="119">
        <f t="shared" si="15"/>
        <v>0.67293969055888858</v>
      </c>
      <c r="G27" s="127">
        <f t="shared" si="15"/>
        <v>0.47572971739236175</v>
      </c>
      <c r="H27" s="120">
        <f t="shared" si="15"/>
        <v>0.60300846687321352</v>
      </c>
      <c r="I27" s="120">
        <f t="shared" si="15"/>
        <v>0.62500194901379902</v>
      </c>
      <c r="J27" s="120">
        <f t="shared" si="15"/>
        <v>0.60649294379796981</v>
      </c>
      <c r="K27" s="128">
        <f t="shared" si="15"/>
        <v>0.63794646797029642</v>
      </c>
      <c r="L27" s="132">
        <f t="shared" si="15"/>
        <v>0.60474035437600671</v>
      </c>
      <c r="M27" s="132">
        <f t="shared" si="15"/>
        <v>0.71637179748753976</v>
      </c>
      <c r="N27" s="132">
        <f t="shared" si="15"/>
        <v>0.72162071284465368</v>
      </c>
      <c r="O27" s="132">
        <f t="shared" si="15"/>
        <v>0.41035938464587968</v>
      </c>
      <c r="P27" s="132">
        <f t="shared" si="15"/>
        <v>0.30886465435431826</v>
      </c>
      <c r="R27" s="26" t="s">
        <v>0</v>
      </c>
      <c r="S27" s="90">
        <v>1.0126892754348642</v>
      </c>
      <c r="T27" s="90">
        <v>0.88324598080207295</v>
      </c>
      <c r="U27" s="90">
        <v>0.91556112212264551</v>
      </c>
      <c r="V27" s="90">
        <v>0.89405644427103659</v>
      </c>
      <c r="W27" s="90">
        <v>0.89460090865333819</v>
      </c>
      <c r="X27" s="26"/>
    </row>
    <row r="28" spans="1:24" s="90" customFormat="1">
      <c r="A28" s="164" t="s">
        <v>116</v>
      </c>
      <c r="B28" s="114">
        <v>155000</v>
      </c>
      <c r="C28" s="114">
        <v>164000</v>
      </c>
      <c r="D28" s="114">
        <v>173000</v>
      </c>
      <c r="E28" s="114">
        <v>180000</v>
      </c>
      <c r="F28" s="22">
        <v>225000</v>
      </c>
      <c r="G28" s="129">
        <v>201000</v>
      </c>
      <c r="H28" s="121">
        <v>202000</v>
      </c>
      <c r="I28" s="121">
        <v>199000</v>
      </c>
      <c r="J28" s="121">
        <v>190000</v>
      </c>
      <c r="K28" s="24">
        <v>186000</v>
      </c>
      <c r="L28" s="25">
        <v>70757</v>
      </c>
      <c r="M28" s="25">
        <v>48016</v>
      </c>
      <c r="N28" s="25">
        <v>48817</v>
      </c>
      <c r="O28" s="25">
        <v>37543</v>
      </c>
      <c r="P28" s="25">
        <v>17782</v>
      </c>
      <c r="R28" s="26" t="s">
        <v>166</v>
      </c>
      <c r="S28" s="258">
        <v>2.46</v>
      </c>
      <c r="T28" s="258">
        <v>1.51</v>
      </c>
      <c r="U28" s="258">
        <v>1.48</v>
      </c>
      <c r="V28" s="258">
        <v>1.54</v>
      </c>
      <c r="W28" s="258">
        <v>1.22</v>
      </c>
      <c r="X28" s="26"/>
    </row>
    <row r="29" spans="1:24" s="53" customFormat="1">
      <c r="A29" s="166" t="s">
        <v>117</v>
      </c>
      <c r="B29" s="115">
        <f>B25*1000000/B28</f>
        <v>790225.80645161285</v>
      </c>
      <c r="C29" s="115">
        <f t="shared" ref="C29:K29" si="16">C25*1000000/C28</f>
        <v>836810.97560975607</v>
      </c>
      <c r="D29" s="115">
        <f t="shared" si="16"/>
        <v>849994.21965317917</v>
      </c>
      <c r="E29" s="115">
        <f t="shared" si="16"/>
        <v>808822.22222222225</v>
      </c>
      <c r="F29" s="94">
        <f t="shared" si="16"/>
        <v>663040</v>
      </c>
      <c r="G29" s="130">
        <f t="shared" si="16"/>
        <v>632557.21393034828</v>
      </c>
      <c r="H29" s="122">
        <f t="shared" si="16"/>
        <v>771782.17821782175</v>
      </c>
      <c r="I29" s="122">
        <f t="shared" si="16"/>
        <v>805718.59296482417</v>
      </c>
      <c r="J29" s="122">
        <f t="shared" si="16"/>
        <v>825136.84210526315</v>
      </c>
      <c r="K29" s="96">
        <f t="shared" si="16"/>
        <v>816129.03225806449</v>
      </c>
      <c r="L29" s="97">
        <f>L25*1000000/L28</f>
        <v>445694.41892674932</v>
      </c>
      <c r="M29" s="97">
        <f t="shared" ref="M29:O29" si="17">M25*1000000/M28</f>
        <v>511871.04298567143</v>
      </c>
      <c r="N29" s="97">
        <f t="shared" si="17"/>
        <v>439621.44334965281</v>
      </c>
      <c r="O29" s="97">
        <f t="shared" si="17"/>
        <v>313214.18107237032</v>
      </c>
      <c r="P29" s="97">
        <f>P25*1000000/P28</f>
        <v>393663.92981666856</v>
      </c>
      <c r="R29" s="2"/>
      <c r="S29" s="2"/>
      <c r="T29" s="2"/>
      <c r="U29" s="2"/>
      <c r="V29" s="2"/>
      <c r="W29" s="2"/>
    </row>
    <row r="45" spans="18:23">
      <c r="R45" s="26"/>
      <c r="S45" s="401" t="s">
        <v>167</v>
      </c>
      <c r="T45" s="401"/>
      <c r="U45" s="401"/>
      <c r="V45" s="401"/>
      <c r="W45" s="401"/>
    </row>
    <row r="46" spans="18:23">
      <c r="R46" s="26"/>
      <c r="S46" s="3">
        <v>2020</v>
      </c>
      <c r="T46" s="3">
        <v>2019</v>
      </c>
      <c r="U46" s="3">
        <v>2018</v>
      </c>
      <c r="V46" s="3">
        <v>2017</v>
      </c>
      <c r="W46" s="4">
        <v>2016</v>
      </c>
    </row>
    <row r="47" spans="18:23">
      <c r="R47" s="26" t="s">
        <v>0</v>
      </c>
      <c r="S47" s="90">
        <v>34.332065102515323</v>
      </c>
      <c r="T47" s="90">
        <v>30.789518517016184</v>
      </c>
      <c r="U47" s="90">
        <v>26.947966966018321</v>
      </c>
      <c r="V47" s="90">
        <v>30.559725810124295</v>
      </c>
      <c r="W47" s="90">
        <v>30.960484967691869</v>
      </c>
    </row>
    <row r="48" spans="18:23">
      <c r="R48" s="26" t="s">
        <v>166</v>
      </c>
      <c r="S48" s="258">
        <v>80</v>
      </c>
      <c r="T48" s="258">
        <v>64</v>
      </c>
      <c r="U48" s="258">
        <v>70</v>
      </c>
      <c r="V48" s="258">
        <v>58</v>
      </c>
      <c r="W48" s="258">
        <v>64</v>
      </c>
    </row>
    <row r="64" spans="18:21">
      <c r="R64" s="272"/>
      <c r="S64" s="273" t="s">
        <v>0</v>
      </c>
      <c r="T64" s="274" t="s">
        <v>1</v>
      </c>
      <c r="U64" s="275" t="s">
        <v>2</v>
      </c>
    </row>
    <row r="65" spans="18:21">
      <c r="R65" s="276" t="s">
        <v>3</v>
      </c>
      <c r="S65" s="277">
        <v>2020</v>
      </c>
      <c r="T65" s="278">
        <v>2020</v>
      </c>
      <c r="U65" s="279">
        <v>2020</v>
      </c>
    </row>
    <row r="66" spans="18:21">
      <c r="R66" s="280" t="s">
        <v>90</v>
      </c>
      <c r="S66" s="281">
        <v>34.332065102515323</v>
      </c>
      <c r="T66" s="281">
        <v>34.987583368809425</v>
      </c>
      <c r="U66" s="281">
        <v>60.100578173933989</v>
      </c>
    </row>
    <row r="67" spans="18:21">
      <c r="R67" s="280" t="s">
        <v>91</v>
      </c>
      <c r="S67" s="281">
        <v>102.04563824141732</v>
      </c>
      <c r="T67" s="281">
        <v>28.687511797646764</v>
      </c>
      <c r="U67" s="281">
        <v>21.828703703703702</v>
      </c>
    </row>
    <row r="68" spans="18:21">
      <c r="R68" s="280" t="s">
        <v>94</v>
      </c>
      <c r="S68" s="281">
        <v>66.846056996866182</v>
      </c>
      <c r="T68" s="281">
        <v>71.878636299134385</v>
      </c>
      <c r="U68" s="281">
        <v>88.678029390508314</v>
      </c>
    </row>
    <row r="69" spans="18:21">
      <c r="R69" s="282" t="s">
        <v>96</v>
      </c>
      <c r="S69" s="283">
        <v>69.531646347066456</v>
      </c>
      <c r="T69" s="283">
        <v>-8.2035411326781968</v>
      </c>
      <c r="U69" s="283">
        <v>-6.7487475128706222</v>
      </c>
    </row>
  </sheetData>
  <mergeCells count="6">
    <mergeCell ref="S45:W45"/>
    <mergeCell ref="B1:F1"/>
    <mergeCell ref="G1:K1"/>
    <mergeCell ref="L1:P1"/>
    <mergeCell ref="A2:A3"/>
    <mergeCell ref="S25:W2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F0AA-E149-904E-A049-505768B9F090}">
  <dimension ref="A1:W46"/>
  <sheetViews>
    <sheetView workbookViewId="0">
      <pane xSplit="1" ySplit="3" topLeftCell="B4" activePane="bottomRight" state="frozen"/>
      <selection pane="topRight" activeCell="B1" sqref="B1"/>
      <selection pane="bottomLeft" activeCell="A4" sqref="A4"/>
      <selection pane="bottomRight" activeCell="D21" sqref="D21"/>
    </sheetView>
  </sheetViews>
  <sheetFormatPr baseColWidth="10" defaultColWidth="10.83203125" defaultRowHeight="16"/>
  <cols>
    <col min="1" max="1" width="22.83203125" style="163" bestFit="1" customWidth="1"/>
    <col min="2" max="5" width="11.5" style="116" bestFit="1" customWidth="1"/>
    <col min="6" max="6" width="11.5" style="31" bestFit="1" customWidth="1"/>
    <col min="7" max="7" width="11.5" style="131" bestFit="1" customWidth="1"/>
    <col min="8" max="10" width="11.5" style="123" bestFit="1" customWidth="1"/>
    <col min="11" max="11" width="11.5" style="33" bestFit="1" customWidth="1"/>
    <col min="12" max="16" width="10.5" style="34" bestFit="1" customWidth="1"/>
    <col min="17" max="17" width="10.83203125" style="26"/>
    <col min="18" max="18" width="16.1640625" style="26" bestFit="1" customWidth="1"/>
    <col min="19" max="16384" width="10.83203125" style="26"/>
  </cols>
  <sheetData>
    <row r="1" spans="1:23" s="2" customFormat="1">
      <c r="A1" s="163"/>
      <c r="B1" s="402" t="s">
        <v>0</v>
      </c>
      <c r="C1" s="402"/>
      <c r="D1" s="402"/>
      <c r="E1" s="402"/>
      <c r="F1" s="403"/>
      <c r="G1" s="404" t="s">
        <v>1</v>
      </c>
      <c r="H1" s="405"/>
      <c r="I1" s="405"/>
      <c r="J1" s="405"/>
      <c r="K1" s="406"/>
      <c r="L1" s="397" t="s">
        <v>2</v>
      </c>
      <c r="M1" s="397"/>
      <c r="N1" s="397"/>
      <c r="O1" s="397"/>
      <c r="P1" s="397"/>
    </row>
    <row r="2" spans="1:23" s="2" customFormat="1">
      <c r="A2" s="399" t="s">
        <v>3</v>
      </c>
      <c r="B2" s="117">
        <v>2020</v>
      </c>
      <c r="C2" s="117">
        <v>2019</v>
      </c>
      <c r="D2" s="117">
        <v>2018</v>
      </c>
      <c r="E2" s="117">
        <v>2017</v>
      </c>
      <c r="F2" s="4">
        <v>2016</v>
      </c>
      <c r="G2" s="124">
        <v>2020</v>
      </c>
      <c r="H2" s="5">
        <v>2019</v>
      </c>
      <c r="I2" s="5">
        <v>2018</v>
      </c>
      <c r="J2" s="5">
        <v>2017</v>
      </c>
      <c r="K2" s="6">
        <v>2016</v>
      </c>
      <c r="L2" s="7">
        <v>2020</v>
      </c>
      <c r="M2" s="7">
        <v>2019</v>
      </c>
      <c r="N2" s="7">
        <v>2018</v>
      </c>
      <c r="O2" s="7">
        <v>2017</v>
      </c>
      <c r="P2" s="7">
        <v>2016</v>
      </c>
    </row>
    <row r="3" spans="1:23" s="2" customFormat="1">
      <c r="A3" s="399"/>
      <c r="B3" s="118" t="s">
        <v>4</v>
      </c>
      <c r="C3" s="118" t="s">
        <v>4</v>
      </c>
      <c r="D3" s="118" t="s">
        <v>4</v>
      </c>
      <c r="E3" s="118" t="s">
        <v>4</v>
      </c>
      <c r="F3" s="9" t="s">
        <v>4</v>
      </c>
      <c r="G3" s="125" t="s">
        <v>4</v>
      </c>
      <c r="H3" s="10" t="s">
        <v>4</v>
      </c>
      <c r="I3" s="10" t="s">
        <v>4</v>
      </c>
      <c r="J3" s="10" t="s">
        <v>4</v>
      </c>
      <c r="K3" s="11" t="s">
        <v>4</v>
      </c>
      <c r="L3" s="12" t="s">
        <v>4</v>
      </c>
      <c r="M3" s="12" t="s">
        <v>4</v>
      </c>
      <c r="N3" s="12" t="s">
        <v>4</v>
      </c>
      <c r="O3" s="12" t="s">
        <v>4</v>
      </c>
      <c r="P3" s="12" t="s">
        <v>4</v>
      </c>
    </row>
    <row r="4" spans="1:23">
      <c r="A4" s="161" t="s">
        <v>100</v>
      </c>
      <c r="B4" s="114">
        <f>IS!B12</f>
        <v>6634</v>
      </c>
      <c r="C4" s="114">
        <f>IS!C12</f>
        <v>5481</v>
      </c>
      <c r="D4" s="114">
        <f>IS!D12</f>
        <v>4445</v>
      </c>
      <c r="E4" s="114">
        <f>IS!E12</f>
        <v>8661</v>
      </c>
      <c r="F4" s="22">
        <f>IS!F12</f>
        <v>8686</v>
      </c>
      <c r="G4" s="129">
        <f>IS!G12</f>
        <v>-4408</v>
      </c>
      <c r="H4" s="121">
        <f>IS!H12</f>
        <v>574</v>
      </c>
      <c r="I4" s="121">
        <f>IS!I12</f>
        <v>3203</v>
      </c>
      <c r="J4" s="121">
        <f>IS!J12</f>
        <v>4881</v>
      </c>
      <c r="K4" s="24">
        <f>IS!K12</f>
        <v>5786</v>
      </c>
      <c r="L4" s="133">
        <f>IS!L12</f>
        <v>1994</v>
      </c>
      <c r="M4" s="133">
        <f>IS!M12</f>
        <v>-69</v>
      </c>
      <c r="N4" s="133">
        <f>IS!N12</f>
        <v>-388</v>
      </c>
      <c r="O4" s="133">
        <f>IS!O12</f>
        <v>-1632</v>
      </c>
      <c r="P4" s="133">
        <f>IS!P12</f>
        <v>-667.34000000000049</v>
      </c>
    </row>
    <row r="5" spans="1:23" s="90" customFormat="1">
      <c r="A5" s="161" t="s">
        <v>108</v>
      </c>
      <c r="B5" s="114">
        <v>1098</v>
      </c>
      <c r="C5" s="114">
        <v>782</v>
      </c>
      <c r="D5" s="114">
        <v>655</v>
      </c>
      <c r="E5" s="114">
        <v>575</v>
      </c>
      <c r="F5" s="22">
        <v>563</v>
      </c>
      <c r="G5" s="129">
        <f>1603+46</f>
        <v>1649</v>
      </c>
      <c r="H5" s="121">
        <f>963+57</f>
        <v>1020</v>
      </c>
      <c r="I5" s="121">
        <v>1238</v>
      </c>
      <c r="J5" s="121">
        <v>1407</v>
      </c>
      <c r="K5" s="24">
        <v>1261</v>
      </c>
      <c r="L5" s="25">
        <v>748</v>
      </c>
      <c r="M5" s="25">
        <v>685</v>
      </c>
      <c r="N5" s="25">
        <v>663</v>
      </c>
      <c r="O5" s="25">
        <v>471</v>
      </c>
      <c r="P5" s="25">
        <v>199</v>
      </c>
      <c r="R5" s="26"/>
      <c r="S5" s="3">
        <v>2020</v>
      </c>
      <c r="T5" s="3">
        <v>2019</v>
      </c>
      <c r="U5" s="3">
        <v>2018</v>
      </c>
      <c r="V5" s="3">
        <v>2017</v>
      </c>
      <c r="W5" s="4">
        <v>2016</v>
      </c>
    </row>
    <row r="6" spans="1:23" s="53" customFormat="1">
      <c r="A6" s="173" t="s">
        <v>107</v>
      </c>
      <c r="B6" s="115">
        <f>B4/B5</f>
        <v>6.0418943533697629</v>
      </c>
      <c r="C6" s="115">
        <f t="shared" ref="C6:P6" si="0">C4/C5</f>
        <v>7.0089514066496168</v>
      </c>
      <c r="D6" s="115">
        <f t="shared" si="0"/>
        <v>6.7862595419847329</v>
      </c>
      <c r="E6" s="115">
        <f t="shared" si="0"/>
        <v>15.062608695652173</v>
      </c>
      <c r="F6" s="94">
        <f t="shared" si="0"/>
        <v>15.428063943161634</v>
      </c>
      <c r="G6" s="130">
        <f>G4/I5</f>
        <v>-3.5605815831987075</v>
      </c>
      <c r="H6" s="122">
        <f t="shared" ref="H6:I6" si="1">H4/J5</f>
        <v>0.4079601990049751</v>
      </c>
      <c r="I6" s="122">
        <f t="shared" si="1"/>
        <v>2.5400475812846945</v>
      </c>
      <c r="J6" s="122">
        <f t="shared" si="0"/>
        <v>3.4690831556503197</v>
      </c>
      <c r="K6" s="96">
        <f t="shared" si="0"/>
        <v>4.5884218873909592</v>
      </c>
      <c r="L6" s="134">
        <f t="shared" si="0"/>
        <v>2.6657754010695189</v>
      </c>
      <c r="M6" s="134">
        <f t="shared" si="0"/>
        <v>-0.10072992700729927</v>
      </c>
      <c r="N6" s="134">
        <f t="shared" si="0"/>
        <v>-0.58521870286576172</v>
      </c>
      <c r="O6" s="134">
        <f t="shared" si="0"/>
        <v>-3.4649681528662422</v>
      </c>
      <c r="P6" s="134">
        <f t="shared" si="0"/>
        <v>-3.3534673366834196</v>
      </c>
      <c r="R6" s="26" t="s">
        <v>0</v>
      </c>
      <c r="S6" s="271">
        <v>3.7344646415846365</v>
      </c>
      <c r="T6" s="271">
        <v>3.9619644450246971</v>
      </c>
      <c r="U6" s="271">
        <v>4.31451480936017</v>
      </c>
      <c r="V6" s="271">
        <v>4.869668508287293</v>
      </c>
      <c r="W6" s="271">
        <v>4.0298355076574017</v>
      </c>
    </row>
    <row r="7" spans="1:23">
      <c r="A7" s="160" t="s">
        <v>40</v>
      </c>
      <c r="B7" s="68">
        <f>BS!B26</f>
        <v>185517</v>
      </c>
      <c r="C7" s="68">
        <f>BS!C26</f>
        <v>182080</v>
      </c>
      <c r="D7" s="68">
        <f>BS!D26</f>
        <v>184562</v>
      </c>
      <c r="E7" s="68">
        <f>BS!E26</f>
        <v>176282</v>
      </c>
      <c r="F7" s="68">
        <f>BS!F26</f>
        <v>177615</v>
      </c>
      <c r="G7" s="126">
        <f>BS!G26</f>
        <v>236450</v>
      </c>
      <c r="H7" s="70">
        <f>BS!H26</f>
        <v>225307</v>
      </c>
      <c r="I7" s="70">
        <f>BS!I26</f>
        <v>220574</v>
      </c>
      <c r="J7" s="70">
        <f>BS!J26</f>
        <v>222890</v>
      </c>
      <c r="K7" s="71">
        <f>BS!K26</f>
        <v>208764</v>
      </c>
      <c r="L7" s="72">
        <f>BS!L26</f>
        <v>29073</v>
      </c>
      <c r="M7" s="72">
        <f>BS!M26</f>
        <v>26842</v>
      </c>
      <c r="N7" s="72">
        <f>BS!N26</f>
        <v>23983</v>
      </c>
      <c r="O7" s="72">
        <f>BS!O26</f>
        <v>23420.79</v>
      </c>
      <c r="P7" s="72">
        <f>BS!P26</f>
        <v>17125.985000000001</v>
      </c>
      <c r="R7" s="26" t="s">
        <v>1</v>
      </c>
      <c r="S7" s="271">
        <v>7.6742072636396088</v>
      </c>
      <c r="T7" s="271">
        <v>6.7802287089978934</v>
      </c>
      <c r="U7" s="271">
        <v>6.132847689484513</v>
      </c>
      <c r="V7" s="271">
        <v>6.2599000168510921</v>
      </c>
      <c r="W7" s="271">
        <v>7.1526364477335802</v>
      </c>
    </row>
    <row r="8" spans="1:23">
      <c r="A8" s="160" t="s">
        <v>102</v>
      </c>
      <c r="B8" s="68">
        <f>BS!B32</f>
        <v>49677</v>
      </c>
      <c r="C8" s="68">
        <f>BS!C32</f>
        <v>45957</v>
      </c>
      <c r="D8" s="68">
        <f>BS!D32</f>
        <v>42777</v>
      </c>
      <c r="E8" s="68">
        <f>BS!E32</f>
        <v>36200</v>
      </c>
      <c r="F8" s="69">
        <f>BS!F32</f>
        <v>44075</v>
      </c>
      <c r="G8" s="126">
        <f>BS!G32</f>
        <v>30811</v>
      </c>
      <c r="H8" s="70">
        <f>BS!H32</f>
        <v>33230</v>
      </c>
      <c r="I8" s="70">
        <f>BS!I32</f>
        <v>35966</v>
      </c>
      <c r="J8" s="70">
        <f>BS!J32</f>
        <v>35606</v>
      </c>
      <c r="K8" s="71">
        <f>BS!K32</f>
        <v>29187</v>
      </c>
      <c r="L8" s="72">
        <f>BS!L32</f>
        <v>23075</v>
      </c>
      <c r="M8" s="72">
        <f>BS!M32</f>
        <v>7467</v>
      </c>
      <c r="N8" s="72">
        <f>BS!N32</f>
        <v>5757</v>
      </c>
      <c r="O8" s="72">
        <f>BS!O32</f>
        <v>5237.5879999999997</v>
      </c>
      <c r="P8" s="72">
        <f>BS!P32</f>
        <v>5538.0860000000002</v>
      </c>
      <c r="R8" s="26" t="s">
        <v>2</v>
      </c>
      <c r="S8" s="271">
        <v>1.2599349945828819</v>
      </c>
      <c r="T8" s="271">
        <v>3.5947502343645374</v>
      </c>
      <c r="U8" s="271">
        <v>4.1658850095535866</v>
      </c>
      <c r="V8" s="271">
        <v>4.4716747479946877</v>
      </c>
      <c r="W8" s="271">
        <v>3.0924014181072668</v>
      </c>
    </row>
    <row r="9" spans="1:23" s="93" customFormat="1">
      <c r="A9" s="174" t="s">
        <v>128</v>
      </c>
      <c r="B9" s="98">
        <f>B7/(B8)</f>
        <v>3.7344646415846365</v>
      </c>
      <c r="C9" s="98">
        <f t="shared" ref="C9:F9" si="2">C7/(C8)</f>
        <v>3.9619644450246971</v>
      </c>
      <c r="D9" s="98">
        <f t="shared" si="2"/>
        <v>4.31451480936017</v>
      </c>
      <c r="E9" s="98">
        <f t="shared" si="2"/>
        <v>4.869668508287293</v>
      </c>
      <c r="F9" s="98">
        <f t="shared" si="2"/>
        <v>4.0298355076574017</v>
      </c>
      <c r="G9" s="138">
        <f>G7/(G8)</f>
        <v>7.6742072636396088</v>
      </c>
      <c r="H9" s="101">
        <f t="shared" ref="H9:K9" si="3">H7/(H8)</f>
        <v>6.7802287089978934</v>
      </c>
      <c r="I9" s="101">
        <f t="shared" si="3"/>
        <v>6.132847689484513</v>
      </c>
      <c r="J9" s="101">
        <f t="shared" si="3"/>
        <v>6.2599000168510921</v>
      </c>
      <c r="K9" s="110">
        <f t="shared" si="3"/>
        <v>7.1526364477335802</v>
      </c>
      <c r="L9" s="104">
        <f>L7/(L8)</f>
        <v>1.2599349945828819</v>
      </c>
      <c r="M9" s="104">
        <f t="shared" ref="M9:P9" si="4">M7/(M8)</f>
        <v>3.5947502343645374</v>
      </c>
      <c r="N9" s="104">
        <f t="shared" si="4"/>
        <v>4.1658850095535866</v>
      </c>
      <c r="O9" s="104">
        <f t="shared" si="4"/>
        <v>4.4716747479946877</v>
      </c>
      <c r="P9" s="104">
        <f t="shared" si="4"/>
        <v>3.0924014181072668</v>
      </c>
      <c r="R9" s="271" t="s">
        <v>166</v>
      </c>
      <c r="S9" s="271">
        <v>0.6</v>
      </c>
      <c r="T9" s="271">
        <v>1.62</v>
      </c>
      <c r="U9" s="271">
        <v>0.93</v>
      </c>
      <c r="V9" s="271">
        <v>1.17</v>
      </c>
      <c r="W9" s="271">
        <v>0.89</v>
      </c>
    </row>
    <row r="10" spans="1:23">
      <c r="A10" s="163" t="s">
        <v>35</v>
      </c>
      <c r="B10" s="136">
        <f>BS!B17</f>
        <v>235194</v>
      </c>
      <c r="C10" s="136">
        <f>BS!C17</f>
        <v>228037</v>
      </c>
      <c r="D10" s="136">
        <f>BS!D17</f>
        <v>227339</v>
      </c>
      <c r="E10" s="136">
        <f>BS!E17</f>
        <v>212482</v>
      </c>
      <c r="F10" s="108">
        <f>BS!F17</f>
        <v>221690</v>
      </c>
      <c r="G10" s="139">
        <f>BS!G17</f>
        <v>267261</v>
      </c>
      <c r="H10" s="140">
        <f>BS!H17</f>
        <v>258537</v>
      </c>
      <c r="I10" s="140">
        <f>BS!I17</f>
        <v>256540</v>
      </c>
      <c r="J10" s="140">
        <f>BS!J17</f>
        <v>258496</v>
      </c>
      <c r="K10" s="111">
        <f>BS!K17</f>
        <v>237951</v>
      </c>
      <c r="L10" s="105">
        <f>BS!L17</f>
        <v>52148</v>
      </c>
      <c r="M10" s="105">
        <f>BS!M17</f>
        <v>34309</v>
      </c>
      <c r="N10" s="105">
        <f>BS!N17</f>
        <v>29740</v>
      </c>
      <c r="O10" s="105">
        <f>BS!O17</f>
        <v>28655.37</v>
      </c>
      <c r="P10" s="105">
        <f>BS!P17</f>
        <v>22664.076000000001</v>
      </c>
    </row>
    <row r="11" spans="1:23" s="89" customFormat="1">
      <c r="A11" s="166" t="s">
        <v>127</v>
      </c>
      <c r="B11" s="137">
        <f>B7/B10</f>
        <v>0.78878287711421213</v>
      </c>
      <c r="C11" s="137">
        <f t="shared" ref="C11:P11" si="5">C7/C10</f>
        <v>0.79846691545670223</v>
      </c>
      <c r="D11" s="137">
        <f t="shared" si="5"/>
        <v>0.81183606860239554</v>
      </c>
      <c r="E11" s="137">
        <f>E7/E10</f>
        <v>0.82963262770493496</v>
      </c>
      <c r="F11" s="109">
        <f t="shared" si="5"/>
        <v>0.80118634128738331</v>
      </c>
      <c r="G11" s="141">
        <f t="shared" si="5"/>
        <v>0.88471568990612171</v>
      </c>
      <c r="H11" s="142">
        <f t="shared" si="5"/>
        <v>0.87146907405903218</v>
      </c>
      <c r="I11" s="142">
        <f t="shared" si="5"/>
        <v>0.85980353940905907</v>
      </c>
      <c r="J11" s="142">
        <f t="shared" si="5"/>
        <v>0.86225705620203019</v>
      </c>
      <c r="K11" s="112">
        <f t="shared" si="5"/>
        <v>0.87734029274934755</v>
      </c>
      <c r="L11" s="106">
        <f>L7/L10</f>
        <v>0.55750939633351226</v>
      </c>
      <c r="M11" s="106">
        <f t="shared" si="5"/>
        <v>0.78236031362033287</v>
      </c>
      <c r="N11" s="106">
        <f t="shared" si="5"/>
        <v>0.80642232683254877</v>
      </c>
      <c r="O11" s="106">
        <f t="shared" si="5"/>
        <v>0.81732638594441465</v>
      </c>
      <c r="P11" s="106">
        <f t="shared" si="5"/>
        <v>0.75564452748923006</v>
      </c>
    </row>
    <row r="12" spans="1:23" s="89" customFormat="1">
      <c r="A12" s="163" t="s">
        <v>177</v>
      </c>
      <c r="B12" s="136">
        <f>BS!B22+BS!B19</f>
        <v>110103</v>
      </c>
      <c r="C12" s="136">
        <f>BS!C22+BS!C19</f>
        <v>103563</v>
      </c>
      <c r="D12" s="136">
        <f>BS!D22+BS!D19</f>
        <v>104951</v>
      </c>
      <c r="E12" s="136">
        <f>BS!E22+BS!E19</f>
        <v>94219</v>
      </c>
      <c r="F12" s="108">
        <f>BS!F22+BS!F19</f>
        <v>75123</v>
      </c>
      <c r="G12" s="140">
        <f>BS!G22+BS!G19</f>
        <v>162007</v>
      </c>
      <c r="H12" s="140">
        <f>BS!H22+BS!H19</f>
        <v>155674</v>
      </c>
      <c r="I12" s="140">
        <f>BS!I22+BS!I19</f>
        <v>154213</v>
      </c>
      <c r="J12" s="140">
        <f>BS!J22+BS!J19</f>
        <v>154287</v>
      </c>
      <c r="K12" s="111">
        <f>BS!K22+BS!K19</f>
        <v>142970</v>
      </c>
      <c r="L12" s="285">
        <f>BS!L22+BS!L19</f>
        <v>12066</v>
      </c>
      <c r="M12" s="285">
        <f>BS!M22+BS!M19</f>
        <v>13704</v>
      </c>
      <c r="N12" s="285">
        <f>BS!N22+BS!N19</f>
        <v>12115</v>
      </c>
      <c r="O12" s="285">
        <f>BS!O22+BS!O19</f>
        <v>10397.39</v>
      </c>
      <c r="P12" s="285">
        <f>BS!P22+BS!P19</f>
        <v>7085.12</v>
      </c>
    </row>
    <row r="13" spans="1:23">
      <c r="A13" s="166" t="s">
        <v>172</v>
      </c>
      <c r="B13" s="115">
        <f>B12/B8</f>
        <v>2.2163778005918231</v>
      </c>
      <c r="C13" s="115">
        <f t="shared" ref="C13:F13" si="6">C12/C8</f>
        <v>2.2534760754618448</v>
      </c>
      <c r="D13" s="115">
        <f t="shared" si="6"/>
        <v>2.4534446080837835</v>
      </c>
      <c r="E13" s="115">
        <f t="shared" si="6"/>
        <v>2.6027348066298344</v>
      </c>
      <c r="F13" s="94">
        <f t="shared" si="6"/>
        <v>1.704435621100397</v>
      </c>
      <c r="G13" s="122">
        <f t="shared" ref="G13" si="7">G12/G8</f>
        <v>5.2580896433092077</v>
      </c>
      <c r="H13" s="122">
        <f t="shared" ref="H13" si="8">H12/H8</f>
        <v>4.6847427023773696</v>
      </c>
      <c r="I13" s="122">
        <f t="shared" ref="I13" si="9">I12/I8</f>
        <v>4.2877439804259581</v>
      </c>
      <c r="J13" s="122">
        <f t="shared" ref="J13" si="10">J12/J8</f>
        <v>4.3331741841262712</v>
      </c>
      <c r="K13" s="96">
        <f t="shared" ref="K13" si="11">K12/K8</f>
        <v>4.8984136773220959</v>
      </c>
      <c r="L13" s="134">
        <f>L12/L8</f>
        <v>0.52290357529794151</v>
      </c>
      <c r="M13" s="134">
        <f t="shared" ref="M13" si="12">M12/M8</f>
        <v>1.8352752109280837</v>
      </c>
      <c r="N13" s="134">
        <f t="shared" ref="N13" si="13">N12/N8</f>
        <v>2.1043946499913151</v>
      </c>
      <c r="O13" s="134">
        <f t="shared" ref="O13" si="14">O12/O8</f>
        <v>1.9851485072899968</v>
      </c>
      <c r="P13" s="134">
        <f>P12/P8</f>
        <v>1.2793445244440045</v>
      </c>
    </row>
    <row r="27" spans="18:23">
      <c r="R27" s="26" t="s">
        <v>172</v>
      </c>
      <c r="S27" s="26">
        <v>2.2163778005918231</v>
      </c>
      <c r="T27" s="26">
        <v>2.2534760754618448</v>
      </c>
      <c r="U27" s="26">
        <v>2.4534446080837835</v>
      </c>
      <c r="V27" s="26">
        <v>2.6027348066298344</v>
      </c>
      <c r="W27" s="26">
        <v>1.704435621100397</v>
      </c>
    </row>
    <row r="44" spans="18:23">
      <c r="S44" s="117">
        <v>2020</v>
      </c>
      <c r="T44" s="117">
        <v>2019</v>
      </c>
      <c r="U44" s="117">
        <v>2018</v>
      </c>
      <c r="V44" s="117">
        <v>2017</v>
      </c>
      <c r="W44" s="4">
        <v>2016</v>
      </c>
    </row>
    <row r="45" spans="18:23">
      <c r="R45" s="26" t="s">
        <v>0</v>
      </c>
      <c r="S45" s="26">
        <v>6.0418943533697629</v>
      </c>
      <c r="T45" s="26">
        <v>7.0089514066496168</v>
      </c>
      <c r="U45" s="26">
        <v>6.7862595419847329</v>
      </c>
      <c r="V45" s="26">
        <v>15.062608695652173</v>
      </c>
      <c r="W45" s="26">
        <v>15.428063943161634</v>
      </c>
    </row>
    <row r="46" spans="18:23">
      <c r="R46" s="26" t="s">
        <v>166</v>
      </c>
      <c r="S46" s="26">
        <v>1.48</v>
      </c>
      <c r="T46" s="26">
        <v>2.68</v>
      </c>
      <c r="U46" s="26">
        <v>3.2</v>
      </c>
      <c r="V46" s="26">
        <v>6.07</v>
      </c>
      <c r="W46" s="26">
        <v>3.13</v>
      </c>
    </row>
  </sheetData>
  <mergeCells count="4">
    <mergeCell ref="B1:F1"/>
    <mergeCell ref="G1:K1"/>
    <mergeCell ref="L1:P1"/>
    <mergeCell ref="A2:A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2765B-3752-564E-98B9-3810C0BCED43}">
  <dimension ref="A1:X44"/>
  <sheetViews>
    <sheetView zoomScale="90" workbookViewId="0">
      <pane xSplit="1" ySplit="3" topLeftCell="J4" activePane="bottomRight" state="frozen"/>
      <selection pane="topRight" activeCell="B1" sqref="B1"/>
      <selection pane="bottomLeft" activeCell="A4" sqref="A4"/>
      <selection pane="bottomRight" sqref="A1:F3"/>
    </sheetView>
  </sheetViews>
  <sheetFormatPr baseColWidth="10" defaultColWidth="10.83203125" defaultRowHeight="16"/>
  <cols>
    <col min="1" max="1" width="39.33203125" style="163" bestFit="1" customWidth="1"/>
    <col min="2" max="5" width="12.6640625" style="116" bestFit="1" customWidth="1"/>
    <col min="6" max="6" width="12.6640625" style="31" bestFit="1" customWidth="1"/>
    <col min="7" max="7" width="12.6640625" style="131" bestFit="1" customWidth="1"/>
    <col min="8" max="10" width="12.6640625" style="123" bestFit="1" customWidth="1"/>
    <col min="11" max="11" width="12.6640625" style="33" bestFit="1" customWidth="1"/>
    <col min="12" max="16" width="11.5" style="34" bestFit="1" customWidth="1"/>
    <col min="17" max="17" width="10.83203125" style="26"/>
    <col min="18" max="18" width="20.6640625" style="26" bestFit="1" customWidth="1"/>
    <col min="19" max="19" width="14.5" style="26" bestFit="1" customWidth="1"/>
    <col min="20" max="16384" width="10.83203125" style="26"/>
  </cols>
  <sheetData>
    <row r="1" spans="1:23" s="2" customFormat="1">
      <c r="A1" s="163"/>
      <c r="B1" s="402" t="s">
        <v>0</v>
      </c>
      <c r="C1" s="402"/>
      <c r="D1" s="402"/>
      <c r="E1" s="402"/>
      <c r="F1" s="403"/>
      <c r="G1" s="404" t="s">
        <v>1</v>
      </c>
      <c r="H1" s="405"/>
      <c r="I1" s="405"/>
      <c r="J1" s="405"/>
      <c r="K1" s="406"/>
      <c r="L1" s="397" t="s">
        <v>2</v>
      </c>
      <c r="M1" s="397"/>
      <c r="N1" s="397"/>
      <c r="O1" s="397"/>
      <c r="P1" s="397"/>
    </row>
    <row r="2" spans="1:23" s="2" customFormat="1">
      <c r="A2" s="399" t="s">
        <v>3</v>
      </c>
      <c r="B2" s="117">
        <v>2020</v>
      </c>
      <c r="C2" s="117">
        <v>2019</v>
      </c>
      <c r="D2" s="117">
        <v>2018</v>
      </c>
      <c r="E2" s="117">
        <v>2017</v>
      </c>
      <c r="F2" s="4">
        <v>2016</v>
      </c>
      <c r="G2" s="124">
        <v>2020</v>
      </c>
      <c r="H2" s="5">
        <v>2019</v>
      </c>
      <c r="I2" s="5">
        <v>2018</v>
      </c>
      <c r="J2" s="5">
        <v>2017</v>
      </c>
      <c r="K2" s="6">
        <v>2016</v>
      </c>
      <c r="L2" s="7">
        <v>2020</v>
      </c>
      <c r="M2" s="7">
        <v>2019</v>
      </c>
      <c r="N2" s="7">
        <v>2018</v>
      </c>
      <c r="O2" s="7">
        <v>2017</v>
      </c>
      <c r="P2" s="7">
        <v>2016</v>
      </c>
    </row>
    <row r="3" spans="1:23" s="2" customFormat="1">
      <c r="A3" s="399"/>
      <c r="B3" s="118" t="s">
        <v>4</v>
      </c>
      <c r="C3" s="118" t="s">
        <v>4</v>
      </c>
      <c r="D3" s="118" t="s">
        <v>4</v>
      </c>
      <c r="E3" s="118" t="s">
        <v>4</v>
      </c>
      <c r="F3" s="9" t="s">
        <v>4</v>
      </c>
      <c r="G3" s="125" t="s">
        <v>4</v>
      </c>
      <c r="H3" s="10" t="s">
        <v>4</v>
      </c>
      <c r="I3" s="10" t="s">
        <v>4</v>
      </c>
      <c r="J3" s="10" t="s">
        <v>4</v>
      </c>
      <c r="K3" s="11" t="s">
        <v>4</v>
      </c>
      <c r="L3" s="12" t="s">
        <v>4</v>
      </c>
      <c r="M3" s="12" t="s">
        <v>4</v>
      </c>
      <c r="N3" s="12" t="s">
        <v>4</v>
      </c>
      <c r="O3" s="12" t="s">
        <v>4</v>
      </c>
      <c r="P3" s="12" t="s">
        <v>4</v>
      </c>
    </row>
    <row r="4" spans="1:23">
      <c r="A4" s="160" t="s">
        <v>169</v>
      </c>
      <c r="B4" s="68">
        <f>BS!B32</f>
        <v>49677</v>
      </c>
      <c r="C4" s="68">
        <f>BS!C32</f>
        <v>45957</v>
      </c>
      <c r="D4" s="68">
        <f>BS!D32</f>
        <v>42777</v>
      </c>
      <c r="E4" s="68">
        <f>BS!E32</f>
        <v>36200</v>
      </c>
      <c r="F4" s="69">
        <f>BS!F32</f>
        <v>44075</v>
      </c>
      <c r="G4" s="126">
        <f>BS!G32</f>
        <v>30811</v>
      </c>
      <c r="H4" s="70">
        <f>BS!H32</f>
        <v>33230</v>
      </c>
      <c r="I4" s="70">
        <f>BS!I32</f>
        <v>35966</v>
      </c>
      <c r="J4" s="70">
        <f>BS!J32</f>
        <v>35606</v>
      </c>
      <c r="K4" s="71">
        <f>BS!K32</f>
        <v>29187</v>
      </c>
      <c r="L4" s="72">
        <f>BS!L32</f>
        <v>23075</v>
      </c>
      <c r="M4" s="72">
        <f>BS!M32</f>
        <v>7467</v>
      </c>
      <c r="N4" s="72">
        <f>BS!N32</f>
        <v>5757</v>
      </c>
      <c r="O4" s="72">
        <f>BS!O32</f>
        <v>5237.5879999999997</v>
      </c>
      <c r="P4" s="72">
        <f>BS!P32</f>
        <v>5538.0860000000002</v>
      </c>
    </row>
    <row r="5" spans="1:23">
      <c r="A5" s="160" t="s">
        <v>111</v>
      </c>
      <c r="B5" s="68">
        <f>IS!B24</f>
        <v>6247</v>
      </c>
      <c r="C5" s="68">
        <f>IS!C24</f>
        <v>6581</v>
      </c>
      <c r="D5" s="68">
        <f>IS!D24</f>
        <v>7916</v>
      </c>
      <c r="E5" s="68">
        <f>IS!E24</f>
        <v>-3880</v>
      </c>
      <c r="F5" s="69">
        <f>IS!F24</f>
        <v>9427</v>
      </c>
      <c r="G5" s="126">
        <f>IS!G24</f>
        <v>-1279</v>
      </c>
      <c r="H5" s="70">
        <f>IS!H24</f>
        <v>47</v>
      </c>
      <c r="I5" s="70">
        <f>IS!I24</f>
        <v>3677</v>
      </c>
      <c r="J5" s="70">
        <f>IS!J24</f>
        <v>7731</v>
      </c>
      <c r="K5" s="71">
        <f>IS!K24</f>
        <v>4589</v>
      </c>
      <c r="L5" s="72">
        <f>IS!L24</f>
        <v>690</v>
      </c>
      <c r="M5" s="72">
        <f>IS!M24</f>
        <v>-870</v>
      </c>
      <c r="N5" s="72">
        <f>IS!N24</f>
        <v>-976</v>
      </c>
      <c r="O5" s="72">
        <f>IS!O24</f>
        <v>-1962</v>
      </c>
      <c r="P5" s="72">
        <f>IS!P24</f>
        <v>-675</v>
      </c>
    </row>
    <row r="6" spans="1:23" s="89" customFormat="1">
      <c r="A6" s="165" t="s">
        <v>168</v>
      </c>
      <c r="B6" s="98">
        <f t="shared" ref="B6:P6" si="0">B5/B4</f>
        <v>0.12575236024719688</v>
      </c>
      <c r="C6" s="98">
        <f t="shared" si="0"/>
        <v>0.14319907739843768</v>
      </c>
      <c r="D6" s="98">
        <f t="shared" si="0"/>
        <v>0.18505271524417327</v>
      </c>
      <c r="E6" s="98">
        <f t="shared" si="0"/>
        <v>-0.10718232044198896</v>
      </c>
      <c r="F6" s="107">
        <f t="shared" si="0"/>
        <v>0.213885422575156</v>
      </c>
      <c r="G6" s="138">
        <f t="shared" si="0"/>
        <v>-4.1511148615754112E-2</v>
      </c>
      <c r="H6" s="101">
        <f t="shared" si="0"/>
        <v>1.4143845922359314E-3</v>
      </c>
      <c r="I6" s="101">
        <f t="shared" si="0"/>
        <v>0.10223544458655397</v>
      </c>
      <c r="J6" s="101">
        <f t="shared" si="0"/>
        <v>0.21712632702353535</v>
      </c>
      <c r="K6" s="110">
        <f t="shared" si="0"/>
        <v>0.15722753280570118</v>
      </c>
      <c r="L6" s="104">
        <f t="shared" si="0"/>
        <v>2.990249187432286E-2</v>
      </c>
      <c r="M6" s="104">
        <f t="shared" si="0"/>
        <v>-0.11651265568501407</v>
      </c>
      <c r="N6" s="104">
        <f t="shared" si="0"/>
        <v>-0.16953274274795901</v>
      </c>
      <c r="O6" s="104">
        <f t="shared" si="0"/>
        <v>-0.37459991125686098</v>
      </c>
      <c r="P6" s="104">
        <f t="shared" si="0"/>
        <v>-0.12188326436245302</v>
      </c>
    </row>
    <row r="7" spans="1:23" s="53" customFormat="1">
      <c r="A7" s="173" t="s">
        <v>106</v>
      </c>
      <c r="B7" s="143">
        <f>IS!B29</f>
        <v>4.3321775312066571</v>
      </c>
      <c r="C7" s="115">
        <f>IS!C29</f>
        <v>4.5733148019457959</v>
      </c>
      <c r="D7" s="115">
        <f>IS!D29</f>
        <v>5.5202231520223153</v>
      </c>
      <c r="E7" s="115">
        <f>IS!E29</f>
        <v>-2.6005361930294906</v>
      </c>
      <c r="F7" s="94">
        <f>IS!F29</f>
        <v>6.0044585987261145</v>
      </c>
      <c r="G7" s="130">
        <f>IS!G29</f>
        <v>-0.32192298011578152</v>
      </c>
      <c r="H7" s="122">
        <f>IS!H29</f>
        <v>1.1738261738261738E-2</v>
      </c>
      <c r="I7" s="122">
        <f>IS!I29</f>
        <v>0.91970985492746371</v>
      </c>
      <c r="J7" s="122">
        <f>IS!J29</f>
        <v>1.9337168584292146</v>
      </c>
      <c r="K7" s="96">
        <f>IS!K29</f>
        <v>1.1475368842210552</v>
      </c>
      <c r="L7" s="134">
        <f>IS!L29</f>
        <v>0.63711911357340723</v>
      </c>
      <c r="M7" s="134">
        <f>IS!M29</f>
        <v>-0.98083427282976321</v>
      </c>
      <c r="N7" s="134">
        <f>IS!N29</f>
        <v>-1.1441969519343493</v>
      </c>
      <c r="O7" s="134">
        <f>IS!O29</f>
        <v>-2.3638554216867469</v>
      </c>
      <c r="P7" s="134">
        <f>IS!P29</f>
        <v>-0.93619972260748963</v>
      </c>
      <c r="R7" s="53" t="s">
        <v>166</v>
      </c>
      <c r="S7" s="89">
        <v>4.4900000000000002E-2</v>
      </c>
      <c r="T7" s="89">
        <v>0.12559999999999999</v>
      </c>
      <c r="U7" s="89">
        <v>7.3200000000000001E-2</v>
      </c>
      <c r="V7" s="89">
        <v>8.6400000000000005E-2</v>
      </c>
      <c r="W7" s="89">
        <v>0.31509999999999999</v>
      </c>
    </row>
    <row r="8" spans="1:23">
      <c r="A8" s="166" t="s">
        <v>114</v>
      </c>
      <c r="B8" s="116">
        <v>41.64</v>
      </c>
      <c r="C8" s="116">
        <v>36.6</v>
      </c>
      <c r="D8" s="116">
        <v>33.450000000000003</v>
      </c>
      <c r="E8" s="116">
        <v>40.99</v>
      </c>
      <c r="F8" s="31">
        <v>34.840000000000003</v>
      </c>
      <c r="G8" s="131">
        <v>8.7899999999999991</v>
      </c>
      <c r="H8" s="123">
        <v>9.25</v>
      </c>
      <c r="I8" s="123">
        <v>7.65</v>
      </c>
      <c r="J8" s="123">
        <v>12.49</v>
      </c>
      <c r="K8" s="33">
        <v>12.13</v>
      </c>
      <c r="L8" s="34">
        <v>705.67</v>
      </c>
      <c r="M8" s="34">
        <v>83.66</v>
      </c>
      <c r="N8" s="34">
        <v>66.02</v>
      </c>
      <c r="O8" s="34">
        <v>62.27</v>
      </c>
      <c r="P8" s="34">
        <v>42.73</v>
      </c>
    </row>
    <row r="9" spans="1:23" s="53" customFormat="1">
      <c r="A9" s="166" t="s">
        <v>115</v>
      </c>
      <c r="B9" s="144">
        <f t="shared" ref="B9:K9" si="1">B8/B7</f>
        <v>9.6117944613414448</v>
      </c>
      <c r="C9" s="144">
        <f t="shared" si="1"/>
        <v>8.0029478802613578</v>
      </c>
      <c r="D9" s="144">
        <f t="shared" si="1"/>
        <v>6.059537645275392</v>
      </c>
      <c r="E9" s="144">
        <f t="shared" si="1"/>
        <v>-15.762134020618557</v>
      </c>
      <c r="F9" s="145">
        <f t="shared" si="1"/>
        <v>5.8023549379442034</v>
      </c>
      <c r="G9" s="148">
        <f t="shared" si="1"/>
        <v>-27.304667709147768</v>
      </c>
      <c r="H9" s="149">
        <f t="shared" si="1"/>
        <v>788.02127659574467</v>
      </c>
      <c r="I9" s="149">
        <f t="shared" si="1"/>
        <v>8.3178406309491439</v>
      </c>
      <c r="J9" s="149">
        <f t="shared" si="1"/>
        <v>6.4590635105419745</v>
      </c>
      <c r="K9" s="150">
        <f t="shared" si="1"/>
        <v>10.570466332534323</v>
      </c>
      <c r="L9" s="154">
        <f t="shared" ref="L9:P9" si="2">L8/L7</f>
        <v>1107.5950869565215</v>
      </c>
      <c r="M9" s="154">
        <f t="shared" si="2"/>
        <v>-85.294735632183901</v>
      </c>
      <c r="N9" s="154">
        <f t="shared" si="2"/>
        <v>-57.699856557377046</v>
      </c>
      <c r="O9" s="154">
        <f t="shared" si="2"/>
        <v>-26.342558613659534</v>
      </c>
      <c r="P9" s="154">
        <f t="shared" si="2"/>
        <v>-45.641970370370366</v>
      </c>
    </row>
    <row r="10" spans="1:23">
      <c r="A10" s="163" t="s">
        <v>129</v>
      </c>
      <c r="B10" s="136">
        <f>IS!B30</f>
        <v>84.941054091539527</v>
      </c>
      <c r="C10" s="136">
        <f>IS!C30</f>
        <v>95.369701181375959</v>
      </c>
      <c r="D10" s="136">
        <f>IS!D30</f>
        <v>102.54463040446304</v>
      </c>
      <c r="E10" s="136">
        <f>IS!E30</f>
        <v>97.579088471849872</v>
      </c>
      <c r="F10" s="108">
        <f>IS!F30</f>
        <v>95.021656050955414</v>
      </c>
      <c r="G10" s="139">
        <f>IS!G30</f>
        <v>32.002013591744273</v>
      </c>
      <c r="H10" s="140">
        <f>IS!H30</f>
        <v>38.936063936063938</v>
      </c>
      <c r="I10" s="140">
        <f>IS!I30</f>
        <v>40.104552276138072</v>
      </c>
      <c r="J10" s="140">
        <f>IS!J30</f>
        <v>39.213606803401703</v>
      </c>
      <c r="K10" s="111">
        <f>IS!K30</f>
        <v>37.959489872468119</v>
      </c>
      <c r="L10" s="105">
        <f>IS!L30</f>
        <v>29.119113573407201</v>
      </c>
      <c r="M10" s="105">
        <f>IS!M30</f>
        <v>27.709131905298761</v>
      </c>
      <c r="N10" s="105">
        <f>IS!N30</f>
        <v>25.159437280187575</v>
      </c>
      <c r="O10" s="105">
        <f>IS!O30</f>
        <v>14.167469879518073</v>
      </c>
      <c r="P10" s="105">
        <f>IS!P30</f>
        <v>9.7089209431345349</v>
      </c>
    </row>
    <row r="11" spans="1:23" s="53" customFormat="1">
      <c r="A11" s="166" t="s">
        <v>130</v>
      </c>
      <c r="B11" s="144">
        <f t="shared" ref="B11:P11" si="3">B8/B10</f>
        <v>0.49022231293627794</v>
      </c>
      <c r="C11" s="144">
        <f t="shared" si="3"/>
        <v>0.38376968310295329</v>
      </c>
      <c r="D11" s="144">
        <f t="shared" si="3"/>
        <v>0.3261994301219322</v>
      </c>
      <c r="E11" s="144">
        <f t="shared" si="3"/>
        <v>0.42006951122345249</v>
      </c>
      <c r="F11" s="145">
        <f t="shared" si="3"/>
        <v>0.36665326040326046</v>
      </c>
      <c r="G11" s="148">
        <f t="shared" si="3"/>
        <v>0.27467021644749257</v>
      </c>
      <c r="H11" s="149">
        <f t="shared" si="3"/>
        <v>0.23756895445798587</v>
      </c>
      <c r="I11" s="149">
        <f t="shared" si="3"/>
        <v>0.19075141264079631</v>
      </c>
      <c r="J11" s="149">
        <f t="shared" si="3"/>
        <v>0.31851188957493493</v>
      </c>
      <c r="K11" s="150">
        <f t="shared" si="3"/>
        <v>0.31955118577075098</v>
      </c>
      <c r="L11" s="154">
        <f t="shared" si="3"/>
        <v>24.233910768645359</v>
      </c>
      <c r="M11" s="154">
        <f t="shared" si="3"/>
        <v>3.0192212547806978</v>
      </c>
      <c r="N11" s="154">
        <f t="shared" si="3"/>
        <v>2.624065048227016</v>
      </c>
      <c r="O11" s="154">
        <f t="shared" si="3"/>
        <v>4.3952802109022873</v>
      </c>
      <c r="P11" s="154">
        <f t="shared" si="3"/>
        <v>4.4011070076964263</v>
      </c>
    </row>
    <row r="12" spans="1:23">
      <c r="A12" s="163" t="s">
        <v>125</v>
      </c>
      <c r="B12" s="136">
        <f>-CF!B32</f>
        <v>669</v>
      </c>
      <c r="C12" s="136">
        <f>-CF!C32</f>
        <v>2350</v>
      </c>
      <c r="D12" s="136">
        <f>-CF!D32</f>
        <v>2242</v>
      </c>
      <c r="E12" s="136">
        <f>-CF!E32</f>
        <v>2233</v>
      </c>
      <c r="F12" s="108">
        <f>-CF!F32</f>
        <v>2368</v>
      </c>
      <c r="G12" s="139">
        <f>-CF!G32</f>
        <v>596</v>
      </c>
      <c r="H12" s="140">
        <f>-CF!H32</f>
        <v>2389</v>
      </c>
      <c r="I12" s="140">
        <f>-CF!I32</f>
        <v>2905</v>
      </c>
      <c r="J12" s="140">
        <f>-CF!J32</f>
        <v>2584</v>
      </c>
      <c r="K12" s="111">
        <f>-CF!K32</f>
        <v>3376</v>
      </c>
      <c r="L12" s="105">
        <f>-CF!L32</f>
        <v>0</v>
      </c>
      <c r="M12" s="105">
        <f>-CF!M32</f>
        <v>0</v>
      </c>
      <c r="N12" s="105">
        <f>-CF!N32</f>
        <v>0</v>
      </c>
      <c r="O12" s="105">
        <f>-CF!O32</f>
        <v>0</v>
      </c>
      <c r="P12" s="105">
        <f>-CF!P32</f>
        <v>0</v>
      </c>
    </row>
    <row r="13" spans="1:23" s="89" customFormat="1">
      <c r="A13" s="166" t="s">
        <v>138</v>
      </c>
      <c r="B13" s="146">
        <f>(B12/IS!B27)/B8</f>
        <v>1.1141666033806712E-2</v>
      </c>
      <c r="C13" s="146">
        <f>(C12/IS!C27)/C8</f>
        <v>4.461963187854346E-2</v>
      </c>
      <c r="D13" s="146">
        <f>(D12/IS!D27)/D8</f>
        <v>4.6740175077604945E-2</v>
      </c>
      <c r="E13" s="146">
        <f>(E12/IS!E27)/E8</f>
        <v>3.651253460760389E-2</v>
      </c>
      <c r="F13" s="147">
        <f>(F12/IS!F27)/F8</f>
        <v>4.3291626141706945E-2</v>
      </c>
      <c r="G13" s="151">
        <f>(G12/IS!G27)/G8</f>
        <v>1.7066278151126477E-2</v>
      </c>
      <c r="H13" s="152">
        <f>(H12/IS!H27)/H8</f>
        <v>6.4503064503064506E-2</v>
      </c>
      <c r="I13" s="152">
        <f>(I12/IS!I27)/I8</f>
        <v>9.4982131588670152E-2</v>
      </c>
      <c r="J13" s="152">
        <f>(J12/IS!J27)/J8</f>
        <v>5.1747250727044863E-2</v>
      </c>
      <c r="K13" s="153">
        <f>(K12/IS!K27)/K8</f>
        <v>6.9596954061268812E-2</v>
      </c>
      <c r="L13" s="155">
        <f>(L12/IS!L27)/L8</f>
        <v>0</v>
      </c>
      <c r="M13" s="155">
        <f>(M12/IS!M27)/M8</f>
        <v>0</v>
      </c>
      <c r="N13" s="155">
        <f>(N12/IS!N27)/N8</f>
        <v>0</v>
      </c>
      <c r="O13" s="155">
        <f>(O12/IS!O27)/O8</f>
        <v>0</v>
      </c>
      <c r="P13" s="155">
        <f>(P12/IS!P27)/P8</f>
        <v>0</v>
      </c>
    </row>
    <row r="14" spans="1:23" s="91" customFormat="1">
      <c r="A14" s="175" t="s">
        <v>132</v>
      </c>
      <c r="B14" s="115">
        <f t="shared" ref="B14:K14" si="4">B5/B12</f>
        <v>9.3378176382660687</v>
      </c>
      <c r="C14" s="115">
        <f t="shared" si="4"/>
        <v>2.8004255319148936</v>
      </c>
      <c r="D14" s="115">
        <f t="shared" si="4"/>
        <v>3.5307760927743086</v>
      </c>
      <c r="E14" s="115">
        <f t="shared" si="4"/>
        <v>-1.7375727720555307</v>
      </c>
      <c r="F14" s="94">
        <f t="shared" si="4"/>
        <v>3.9809966216216215</v>
      </c>
      <c r="G14" s="130">
        <f t="shared" si="4"/>
        <v>-2.1459731543624163</v>
      </c>
      <c r="H14" s="122">
        <f t="shared" si="4"/>
        <v>1.9673503557974047E-2</v>
      </c>
      <c r="I14" s="122">
        <f t="shared" si="4"/>
        <v>1.2657487091222031</v>
      </c>
      <c r="J14" s="122">
        <f t="shared" si="4"/>
        <v>2.9918730650154797</v>
      </c>
      <c r="K14" s="96">
        <f t="shared" si="4"/>
        <v>1.3593009478672986</v>
      </c>
      <c r="L14" s="97">
        <v>0</v>
      </c>
      <c r="M14" s="97">
        <v>0</v>
      </c>
      <c r="N14" s="97">
        <v>0</v>
      </c>
      <c r="O14" s="97">
        <v>0</v>
      </c>
      <c r="P14" s="97">
        <v>0</v>
      </c>
    </row>
    <row r="15" spans="1:23" s="53" customFormat="1">
      <c r="A15" s="166" t="s">
        <v>131</v>
      </c>
      <c r="B15" s="137">
        <f t="shared" ref="B15:K15" si="5">B12/B5</f>
        <v>0.10709140387385946</v>
      </c>
      <c r="C15" s="137">
        <f t="shared" si="5"/>
        <v>0.35708858836043156</v>
      </c>
      <c r="D15" s="137">
        <f t="shared" si="5"/>
        <v>0.28322385042950987</v>
      </c>
      <c r="E15" s="137">
        <f t="shared" si="5"/>
        <v>-0.57551546391752573</v>
      </c>
      <c r="F15" s="109">
        <f t="shared" si="5"/>
        <v>0.25119338071496766</v>
      </c>
      <c r="G15" s="141">
        <f t="shared" si="5"/>
        <v>-0.46598905394839718</v>
      </c>
      <c r="H15" s="142">
        <f t="shared" si="5"/>
        <v>50.829787234042556</v>
      </c>
      <c r="I15" s="142">
        <f t="shared" si="5"/>
        <v>0.79004623334239865</v>
      </c>
      <c r="J15" s="142">
        <f t="shared" si="5"/>
        <v>0.33423877894192211</v>
      </c>
      <c r="K15" s="112">
        <f t="shared" si="5"/>
        <v>0.7356722597515799</v>
      </c>
      <c r="L15" s="106">
        <v>0</v>
      </c>
      <c r="M15" s="106">
        <f>M12/M5</f>
        <v>0</v>
      </c>
      <c r="N15" s="106">
        <f>N12/N5</f>
        <v>0</v>
      </c>
      <c r="O15" s="106">
        <f>O12/O5</f>
        <v>0</v>
      </c>
      <c r="P15" s="106">
        <f>P12/P5</f>
        <v>0</v>
      </c>
    </row>
    <row r="16" spans="1:23" s="89" customFormat="1">
      <c r="A16" s="166" t="s">
        <v>134</v>
      </c>
      <c r="B16" s="137">
        <f t="shared" ref="B16:P16" si="6">1-B15</f>
        <v>0.89290859612614049</v>
      </c>
      <c r="C16" s="137">
        <f t="shared" si="6"/>
        <v>0.64291141163956844</v>
      </c>
      <c r="D16" s="137">
        <f t="shared" si="6"/>
        <v>0.71677614957049007</v>
      </c>
      <c r="E16" s="137">
        <f t="shared" si="6"/>
        <v>1.5755154639175257</v>
      </c>
      <c r="F16" s="109">
        <f t="shared" si="6"/>
        <v>0.74880661928503234</v>
      </c>
      <c r="G16" s="141">
        <f t="shared" si="6"/>
        <v>1.4659890539483973</v>
      </c>
      <c r="H16" s="142">
        <f t="shared" si="6"/>
        <v>-49.829787234042556</v>
      </c>
      <c r="I16" s="142">
        <f t="shared" si="6"/>
        <v>0.20995376665760135</v>
      </c>
      <c r="J16" s="142">
        <f t="shared" si="6"/>
        <v>0.66576122105807789</v>
      </c>
      <c r="K16" s="112">
        <f t="shared" si="6"/>
        <v>0.2643277402484201</v>
      </c>
      <c r="L16" s="106">
        <f t="shared" si="6"/>
        <v>1</v>
      </c>
      <c r="M16" s="106">
        <f t="shared" si="6"/>
        <v>1</v>
      </c>
      <c r="N16" s="106">
        <f t="shared" si="6"/>
        <v>1</v>
      </c>
      <c r="O16" s="106">
        <f t="shared" si="6"/>
        <v>1</v>
      </c>
      <c r="P16" s="106">
        <f t="shared" si="6"/>
        <v>1</v>
      </c>
    </row>
    <row r="17" spans="1:24" s="53" customFormat="1">
      <c r="A17" s="166" t="s">
        <v>133</v>
      </c>
      <c r="B17" s="146">
        <f t="shared" ref="B17:P17" si="7">B16*B6</f>
        <v>0.11228536344787324</v>
      </c>
      <c r="C17" s="146">
        <f t="shared" si="7"/>
        <v>9.2064320995713392E-2</v>
      </c>
      <c r="D17" s="146">
        <f t="shared" si="7"/>
        <v>0.13264137270028284</v>
      </c>
      <c r="E17" s="146">
        <f t="shared" si="7"/>
        <v>-0.16886740331491712</v>
      </c>
      <c r="F17" s="147">
        <f t="shared" si="7"/>
        <v>0.1601588201928531</v>
      </c>
      <c r="G17" s="151">
        <f t="shared" si="7"/>
        <v>-6.0854889487520693E-2</v>
      </c>
      <c r="H17" s="152">
        <f t="shared" si="7"/>
        <v>-7.0478483298224495E-2</v>
      </c>
      <c r="I17" s="152">
        <f t="shared" si="7"/>
        <v>2.1464716676861485E-2</v>
      </c>
      <c r="J17" s="152">
        <f t="shared" si="7"/>
        <v>0.14455428860304442</v>
      </c>
      <c r="K17" s="153">
        <f t="shared" si="7"/>
        <v>4.155959845136533E-2</v>
      </c>
      <c r="L17" s="155">
        <f t="shared" si="7"/>
        <v>2.990249187432286E-2</v>
      </c>
      <c r="M17" s="155">
        <f t="shared" si="7"/>
        <v>-0.11651265568501407</v>
      </c>
      <c r="N17" s="155">
        <f t="shared" si="7"/>
        <v>-0.16953274274795901</v>
      </c>
      <c r="O17" s="155">
        <f t="shared" si="7"/>
        <v>-0.37459991125686098</v>
      </c>
      <c r="P17" s="155">
        <f t="shared" si="7"/>
        <v>-0.12188326436245302</v>
      </c>
    </row>
    <row r="24" spans="1:24">
      <c r="T24" s="3">
        <v>2020</v>
      </c>
      <c r="U24" s="3">
        <v>2019</v>
      </c>
      <c r="V24" s="3">
        <v>2018</v>
      </c>
      <c r="W24" s="3">
        <v>2017</v>
      </c>
      <c r="X24" s="4">
        <v>2016</v>
      </c>
    </row>
    <row r="25" spans="1:24">
      <c r="S25" s="26" t="s">
        <v>130</v>
      </c>
      <c r="T25" s="26">
        <v>0.49022231293627794</v>
      </c>
      <c r="U25" s="26">
        <v>0.38376968310295329</v>
      </c>
      <c r="V25" s="26">
        <v>0.3261994301219322</v>
      </c>
      <c r="W25" s="26">
        <v>0.42006951122345249</v>
      </c>
      <c r="X25" s="26">
        <v>0.36665326040326046</v>
      </c>
    </row>
    <row r="43" spans="19:24">
      <c r="T43" s="3">
        <v>2020</v>
      </c>
      <c r="U43" s="3">
        <v>2019</v>
      </c>
      <c r="V43" s="3">
        <v>2018</v>
      </c>
      <c r="W43" s="3">
        <v>2017</v>
      </c>
      <c r="X43" s="4">
        <v>2016</v>
      </c>
    </row>
    <row r="44" spans="19:24">
      <c r="S44" s="26" t="s">
        <v>138</v>
      </c>
      <c r="T44" s="257">
        <v>1.1141666033806712E-2</v>
      </c>
      <c r="U44" s="257">
        <v>4.461963187854346E-2</v>
      </c>
      <c r="V44" s="257">
        <v>4.6740175077604945E-2</v>
      </c>
      <c r="W44" s="257">
        <v>3.651253460760389E-2</v>
      </c>
      <c r="X44" s="257">
        <v>4.3291626141706945E-2</v>
      </c>
    </row>
  </sheetData>
  <mergeCells count="4">
    <mergeCell ref="B1:F1"/>
    <mergeCell ref="G1:K1"/>
    <mergeCell ref="L1:P1"/>
    <mergeCell ref="A2:A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7748-AFD5-D041-9B80-574B8755A6AE}">
  <dimension ref="A1:F9"/>
  <sheetViews>
    <sheetView workbookViewId="0">
      <pane xSplit="1" ySplit="3" topLeftCell="B4" activePane="bottomRight" state="frozen"/>
      <selection pane="topRight" activeCell="B1" sqref="B1"/>
      <selection pane="bottomLeft" activeCell="A4" sqref="A4"/>
      <selection pane="bottomRight" activeCell="F7" sqref="A1:F7"/>
    </sheetView>
  </sheetViews>
  <sheetFormatPr baseColWidth="10" defaultRowHeight="16"/>
  <cols>
    <col min="1" max="1" width="26.33203125" style="393" bestFit="1" customWidth="1"/>
    <col min="2" max="5" width="10.83203125" style="30"/>
    <col min="6" max="6" width="10.83203125" style="31"/>
    <col min="7" max="16384" width="10.83203125" style="26"/>
  </cols>
  <sheetData>
    <row r="1" spans="1:6" s="392" customFormat="1">
      <c r="A1" s="394" t="s">
        <v>217</v>
      </c>
      <c r="B1" s="407" t="s">
        <v>0</v>
      </c>
      <c r="C1" s="407"/>
      <c r="D1" s="407"/>
      <c r="E1" s="407"/>
      <c r="F1" s="408"/>
    </row>
    <row r="2" spans="1:6">
      <c r="A2" s="409" t="s">
        <v>3</v>
      </c>
      <c r="B2" s="117">
        <v>2020</v>
      </c>
      <c r="C2" s="117">
        <v>2019</v>
      </c>
      <c r="D2" s="117">
        <v>2018</v>
      </c>
      <c r="E2" s="117">
        <v>2017</v>
      </c>
      <c r="F2" s="4">
        <v>2016</v>
      </c>
    </row>
    <row r="3" spans="1:6" s="392" customFormat="1">
      <c r="A3" s="409"/>
      <c r="B3" s="315" t="s">
        <v>4</v>
      </c>
      <c r="C3" s="315" t="s">
        <v>4</v>
      </c>
      <c r="D3" s="315" t="s">
        <v>4</v>
      </c>
      <c r="E3" s="315" t="s">
        <v>4</v>
      </c>
      <c r="F3" s="245" t="s">
        <v>4</v>
      </c>
    </row>
    <row r="4" spans="1:6">
      <c r="A4" s="243" t="s">
        <v>213</v>
      </c>
      <c r="B4" s="389">
        <f>'Profitability Ratios'!B10</f>
        <v>5.1002163530228191E-2</v>
      </c>
      <c r="C4" s="389">
        <f>'Profitability Ratios'!C10</f>
        <v>4.7953540226032342E-2</v>
      </c>
      <c r="D4" s="389">
        <f>'Profitability Ratios'!D10</f>
        <v>5.3832396004053068E-2</v>
      </c>
      <c r="E4" s="389">
        <f>'Profitability Ratios'!E10</f>
        <v>-2.6650548122097974E-2</v>
      </c>
      <c r="F4" s="79">
        <f>'Profitability Ratios'!F10</f>
        <v>6.3190422565422566E-2</v>
      </c>
    </row>
    <row r="5" spans="1:6">
      <c r="A5" s="243" t="s">
        <v>214</v>
      </c>
      <c r="B5" s="136">
        <f>'Liquidity and Efficiency Ratios'!B27</f>
        <v>0.52078284309973899</v>
      </c>
      <c r="C5" s="136">
        <f>'Liquidity and Efficiency Ratios'!C27</f>
        <v>0.60181900305652158</v>
      </c>
      <c r="D5" s="136">
        <f>'Liquidity and Efficiency Ratios'!D27</f>
        <v>0.64682698525110083</v>
      </c>
      <c r="E5" s="136">
        <f>'Liquidity and Efficiency Ratios'!E27</f>
        <v>0.68517803861032933</v>
      </c>
      <c r="F5" s="108">
        <f>'Liquidity and Efficiency Ratios'!F27</f>
        <v>0.67293969055888858</v>
      </c>
    </row>
    <row r="6" spans="1:6">
      <c r="A6" s="243" t="s">
        <v>215</v>
      </c>
      <c r="B6" s="114">
        <f>BS!B17/BS!B32</f>
        <v>4.734464641584637</v>
      </c>
      <c r="C6" s="114">
        <f>BS!C17/BS!C32</f>
        <v>4.9619644450246971</v>
      </c>
      <c r="D6" s="114">
        <f>BS!D17/BS!D32</f>
        <v>5.31451480936017</v>
      </c>
      <c r="E6" s="114">
        <f>BS!E17/BS!E32</f>
        <v>5.869668508287293</v>
      </c>
      <c r="F6" s="22">
        <f>BS!F17/BS!F32</f>
        <v>5.0298355076574017</v>
      </c>
    </row>
    <row r="7" spans="1:6" s="348" customFormat="1">
      <c r="A7" s="272" t="s">
        <v>171</v>
      </c>
      <c r="B7" s="390">
        <f>B4*B5*B6</f>
        <v>0.12575236024719691</v>
      </c>
      <c r="C7" s="390">
        <f t="shared" ref="C7:F7" si="0">C4*C5*C6</f>
        <v>0.14319907739843768</v>
      </c>
      <c r="D7" s="390">
        <f t="shared" si="0"/>
        <v>0.18505271524417327</v>
      </c>
      <c r="E7" s="390">
        <f t="shared" si="0"/>
        <v>-0.10718232044198894</v>
      </c>
      <c r="F7" s="391">
        <f t="shared" si="0"/>
        <v>0.21388542257515597</v>
      </c>
    </row>
    <row r="8" spans="1:6">
      <c r="A8" s="393" t="s">
        <v>216</v>
      </c>
      <c r="B8" s="78">
        <f>'Investment Ratios'!B6</f>
        <v>0.12575236024719688</v>
      </c>
      <c r="C8" s="78">
        <f>'Investment Ratios'!C6</f>
        <v>0.14319907739843768</v>
      </c>
      <c r="D8" s="78">
        <f>'Investment Ratios'!D6</f>
        <v>0.18505271524417327</v>
      </c>
      <c r="E8" s="78">
        <f>'Investment Ratios'!E6</f>
        <v>-0.10718232044198896</v>
      </c>
      <c r="F8" s="79">
        <f>'Investment Ratios'!F6</f>
        <v>0.213885422575156</v>
      </c>
    </row>
    <row r="9" spans="1:6">
      <c r="B9" s="346">
        <f>B7-B8</f>
        <v>0</v>
      </c>
      <c r="C9" s="346">
        <f t="shared" ref="C9:F9" si="1">C7-C8</f>
        <v>0</v>
      </c>
      <c r="D9" s="346">
        <f t="shared" si="1"/>
        <v>0</v>
      </c>
      <c r="E9" s="346">
        <f t="shared" si="1"/>
        <v>0</v>
      </c>
      <c r="F9" s="347">
        <f t="shared" si="1"/>
        <v>0</v>
      </c>
    </row>
  </sheetData>
  <mergeCells count="2">
    <mergeCell ref="B1:F1"/>
    <mergeCell ref="A2:A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CEDE7-9AA6-044C-A54F-13D5F02BBFB8}">
  <dimension ref="A1:V32"/>
  <sheetViews>
    <sheetView workbookViewId="0">
      <pane xSplit="1" ySplit="3" topLeftCell="B4" activePane="bottomRight" state="frozen"/>
      <selection pane="topRight" activeCell="B1" sqref="B1"/>
      <selection pane="bottomLeft" activeCell="A4" sqref="A4"/>
      <selection pane="bottomRight" activeCell="U7" sqref="Q7:U7"/>
    </sheetView>
  </sheetViews>
  <sheetFormatPr baseColWidth="10" defaultColWidth="10.83203125" defaultRowHeight="16"/>
  <cols>
    <col min="1" max="1" width="45.83203125" style="159" bestFit="1" customWidth="1"/>
    <col min="2" max="5" width="11.5" style="30" bestFit="1" customWidth="1"/>
    <col min="6" max="6" width="11.5" style="31" bestFit="1" customWidth="1"/>
    <col min="7" max="10" width="11.5" style="123" bestFit="1" customWidth="1"/>
    <col min="11" max="11" width="11.5" style="33" bestFit="1" customWidth="1"/>
    <col min="12" max="15" width="11.5" style="34" bestFit="1" customWidth="1"/>
    <col min="16" max="16" width="11.5" style="222" bestFit="1" customWidth="1"/>
    <col min="17" max="17" width="8" style="181" bestFit="1" customWidth="1"/>
    <col min="18" max="18" width="8.5" style="181" bestFit="1" customWidth="1"/>
    <col min="19" max="19" width="8" style="181" bestFit="1" customWidth="1"/>
    <col min="20" max="20" width="8.5" style="181" bestFit="1" customWidth="1"/>
    <col min="21" max="21" width="8" style="181" bestFit="1" customWidth="1"/>
    <col min="22" max="16384" width="10.83203125" style="26"/>
  </cols>
  <sheetData>
    <row r="1" spans="1:22" s="2" customFormat="1">
      <c r="A1" s="159"/>
      <c r="B1" s="395" t="s">
        <v>0</v>
      </c>
      <c r="C1" s="395"/>
      <c r="D1" s="395"/>
      <c r="E1" s="395"/>
      <c r="F1" s="395"/>
      <c r="G1" s="405" t="s">
        <v>1</v>
      </c>
      <c r="H1" s="405"/>
      <c r="I1" s="405"/>
      <c r="J1" s="405"/>
      <c r="K1" s="406"/>
      <c r="L1" s="397" t="s">
        <v>2</v>
      </c>
      <c r="M1" s="397"/>
      <c r="N1" s="397"/>
      <c r="O1" s="397"/>
      <c r="P1" s="397"/>
      <c r="Q1" s="411" t="s">
        <v>118</v>
      </c>
      <c r="R1" s="411"/>
      <c r="S1" s="411"/>
      <c r="T1" s="411"/>
      <c r="U1" s="411"/>
    </row>
    <row r="2" spans="1:22" s="2" customFormat="1">
      <c r="A2" s="410" t="s">
        <v>3</v>
      </c>
      <c r="B2" s="3">
        <v>2020</v>
      </c>
      <c r="C2" s="3">
        <v>2019</v>
      </c>
      <c r="D2" s="3">
        <v>2018</v>
      </c>
      <c r="E2" s="3">
        <v>2017</v>
      </c>
      <c r="F2" s="4">
        <v>2016</v>
      </c>
      <c r="G2" s="5">
        <v>2020</v>
      </c>
      <c r="H2" s="5">
        <v>2019</v>
      </c>
      <c r="I2" s="5">
        <v>2018</v>
      </c>
      <c r="J2" s="5">
        <v>2017</v>
      </c>
      <c r="K2" s="6">
        <v>2016</v>
      </c>
      <c r="L2" s="7">
        <v>2020</v>
      </c>
      <c r="M2" s="7">
        <v>2019</v>
      </c>
      <c r="N2" s="7">
        <v>2018</v>
      </c>
      <c r="O2" s="7">
        <v>2017</v>
      </c>
      <c r="P2" s="218">
        <v>2016</v>
      </c>
      <c r="Q2" s="253">
        <v>2020</v>
      </c>
      <c r="R2" s="253">
        <v>2019</v>
      </c>
      <c r="S2" s="253">
        <v>2018</v>
      </c>
      <c r="T2" s="253">
        <v>2017</v>
      </c>
      <c r="U2" s="253">
        <v>2016</v>
      </c>
    </row>
    <row r="3" spans="1:22" s="2" customFormat="1">
      <c r="A3" s="410"/>
      <c r="B3" s="8" t="s">
        <v>4</v>
      </c>
      <c r="C3" s="8" t="s">
        <v>4</v>
      </c>
      <c r="D3" s="8" t="s">
        <v>4</v>
      </c>
      <c r="E3" s="8" t="s">
        <v>4</v>
      </c>
      <c r="F3" s="9" t="s">
        <v>4</v>
      </c>
      <c r="G3" s="10" t="s">
        <v>4</v>
      </c>
      <c r="H3" s="10" t="s">
        <v>4</v>
      </c>
      <c r="I3" s="10" t="s">
        <v>4</v>
      </c>
      <c r="J3" s="10" t="s">
        <v>4</v>
      </c>
      <c r="K3" s="11" t="s">
        <v>4</v>
      </c>
      <c r="L3" s="12" t="s">
        <v>4</v>
      </c>
      <c r="M3" s="12" t="s">
        <v>4</v>
      </c>
      <c r="N3" s="12" t="s">
        <v>4</v>
      </c>
      <c r="O3" s="12" t="s">
        <v>4</v>
      </c>
      <c r="P3" s="219" t="s">
        <v>4</v>
      </c>
      <c r="Q3" s="254" t="s">
        <v>4</v>
      </c>
      <c r="R3" s="254" t="s">
        <v>4</v>
      </c>
      <c r="S3" s="254" t="s">
        <v>4</v>
      </c>
      <c r="T3" s="254" t="s">
        <v>4</v>
      </c>
      <c r="U3" s="254" t="s">
        <v>4</v>
      </c>
    </row>
    <row r="4" spans="1:22">
      <c r="A4" s="159" t="s">
        <v>97</v>
      </c>
      <c r="B4" s="99">
        <f>'Profitability Ratios'!B4</f>
        <v>122485</v>
      </c>
      <c r="C4" s="99">
        <f>'Profitability Ratios'!C4</f>
        <v>137237</v>
      </c>
      <c r="D4" s="99">
        <f>'Profitability Ratios'!D4</f>
        <v>147049</v>
      </c>
      <c r="E4" s="99">
        <f>'Profitability Ratios'!E4</f>
        <v>145588</v>
      </c>
      <c r="F4" s="108">
        <f>'Profitability Ratios'!F4</f>
        <v>149184</v>
      </c>
      <c r="G4" s="140">
        <f>'Profitability Ratios'!G4</f>
        <v>127144</v>
      </c>
      <c r="H4" s="140">
        <f>'Profitability Ratios'!H4</f>
        <v>155900</v>
      </c>
      <c r="I4" s="140">
        <f>'Profitability Ratios'!I4</f>
        <v>160338</v>
      </c>
      <c r="J4" s="140">
        <f>'Profitability Ratios'!J4</f>
        <v>156776</v>
      </c>
      <c r="K4" s="111">
        <f>'Profitability Ratios'!K4</f>
        <v>151800</v>
      </c>
      <c r="L4" s="105">
        <f>'Profitability Ratios'!L4</f>
        <v>31536</v>
      </c>
      <c r="M4" s="105">
        <f>'Profitability Ratios'!M4</f>
        <v>24578</v>
      </c>
      <c r="N4" s="105">
        <f>'Profitability Ratios'!N4</f>
        <v>21461</v>
      </c>
      <c r="O4" s="105">
        <f>'Profitability Ratios'!O4</f>
        <v>11759</v>
      </c>
      <c r="P4" s="221">
        <f>'Profitability Ratios'!P4</f>
        <v>7000.1319999999996</v>
      </c>
      <c r="Q4" s="255"/>
      <c r="V4" s="26" t="s">
        <v>164</v>
      </c>
    </row>
    <row r="5" spans="1:22">
      <c r="A5" s="160" t="s">
        <v>99</v>
      </c>
      <c r="B5" s="78">
        <f>'Profitability Ratios'!B6</f>
        <v>0.1116218312446422</v>
      </c>
      <c r="C5" s="78">
        <f>'Profitability Ratios'!C6</f>
        <v>0.10180927883879712</v>
      </c>
      <c r="D5" s="78">
        <f>'Profitability Ratios'!D6</f>
        <v>9.5852402940516432E-2</v>
      </c>
      <c r="E5" s="78">
        <f>'Profitability Ratios'!E6</f>
        <v>0.12522323268401242</v>
      </c>
      <c r="F5" s="79">
        <f>'Profitability Ratios'!F6</f>
        <v>0.12756729944229944</v>
      </c>
      <c r="G5" s="223">
        <f>'Profitability Ratios'!G6</f>
        <v>0.11319448813943246</v>
      </c>
      <c r="H5" s="223">
        <f>'Profitability Ratios'!H6</f>
        <v>0.13602950609364978</v>
      </c>
      <c r="I5" s="223">
        <f>'Profitability Ratios'!I6</f>
        <v>0.15011413389215283</v>
      </c>
      <c r="J5" s="223">
        <f>'Profitability Ratios'!J6</f>
        <v>0.16236541307342961</v>
      </c>
      <c r="K5" s="81">
        <f>'Profitability Ratios'!K6</f>
        <v>0.16867588932806324</v>
      </c>
      <c r="L5" s="82">
        <f>'Profitability Ratios'!L6</f>
        <v>0.2102359208523592</v>
      </c>
      <c r="M5" s="82">
        <f>'Profitability Ratios'!M6</f>
        <v>0.1655545609895028</v>
      </c>
      <c r="N5" s="82">
        <f>'Profitability Ratios'!N6</f>
        <v>0.18834164298028983</v>
      </c>
      <c r="O5" s="82">
        <f>'Profitability Ratios'!O6</f>
        <v>0.1890466876435071</v>
      </c>
      <c r="P5" s="248">
        <f>'Profitability Ratios'!P6</f>
        <v>0.22846097759299391</v>
      </c>
      <c r="Q5" s="256"/>
      <c r="R5" s="256"/>
      <c r="S5" s="256"/>
      <c r="T5" s="256"/>
      <c r="U5" s="256"/>
    </row>
    <row r="6" spans="1:22">
      <c r="A6" s="160" t="s">
        <v>101</v>
      </c>
      <c r="B6" s="78">
        <f>'Profitability Ratios'!B8</f>
        <v>5.4161734089888558E-2</v>
      </c>
      <c r="C6" s="78">
        <f>'Profitability Ratios'!C8</f>
        <v>3.9938209083556185E-2</v>
      </c>
      <c r="D6" s="78">
        <f>'Profitability Ratios'!D8</f>
        <v>3.0228019231684677E-2</v>
      </c>
      <c r="E6" s="78">
        <f>'Profitability Ratios'!E8</f>
        <v>5.9489793114817155E-2</v>
      </c>
      <c r="F6" s="79">
        <f>'Profitability Ratios'!F8</f>
        <v>5.8223401973401971E-2</v>
      </c>
      <c r="G6" s="223">
        <f>'Profitability Ratios'!G8</f>
        <v>-3.4669351286730009E-2</v>
      </c>
      <c r="H6" s="223">
        <f>'Profitability Ratios'!H8</f>
        <v>3.6818473380372035E-3</v>
      </c>
      <c r="I6" s="223">
        <f>'Profitability Ratios'!I8</f>
        <v>1.9976549539098654E-2</v>
      </c>
      <c r="J6" s="223">
        <f>'Profitability Ratios'!J8</f>
        <v>3.1133591876307598E-2</v>
      </c>
      <c r="K6" s="81">
        <f>'Profitability Ratios'!K8</f>
        <v>3.8115942028985508E-2</v>
      </c>
      <c r="L6" s="82">
        <f>'Profitability Ratios'!L8</f>
        <v>6.3229325215626589E-2</v>
      </c>
      <c r="M6" s="82">
        <f>'Profitability Ratios'!M8</f>
        <v>-2.8073887216209618E-3</v>
      </c>
      <c r="N6" s="82">
        <f>'Profitability Ratios'!N8</f>
        <v>-1.8079306649270769E-2</v>
      </c>
      <c r="O6" s="82">
        <f>'Profitability Ratios'!O8</f>
        <v>-0.13878731184624543</v>
      </c>
      <c r="P6" s="248">
        <f>'Profitability Ratios'!P8</f>
        <v>-9.5332488015940339E-2</v>
      </c>
      <c r="Q6" s="256">
        <v>7.1999999999999995E-2</v>
      </c>
      <c r="R6" s="256">
        <v>6.5000000000000002E-2</v>
      </c>
      <c r="S6" s="256">
        <v>7.6999999999999999E-2</v>
      </c>
      <c r="T6" s="256">
        <v>5.3999999999999999E-2</v>
      </c>
      <c r="U6" s="256">
        <v>3.5000000000000003E-2</v>
      </c>
    </row>
    <row r="7" spans="1:22">
      <c r="A7" s="159" t="s">
        <v>112</v>
      </c>
      <c r="B7" s="78">
        <f>'Profitability Ratios'!B10</f>
        <v>5.1002163530228191E-2</v>
      </c>
      <c r="C7" s="78">
        <f>'Profitability Ratios'!C10</f>
        <v>4.7953540226032342E-2</v>
      </c>
      <c r="D7" s="78">
        <f>'Profitability Ratios'!D10</f>
        <v>5.3832396004053068E-2</v>
      </c>
      <c r="E7" s="78">
        <f>'Profitability Ratios'!E10</f>
        <v>-2.6650548122097974E-2</v>
      </c>
      <c r="F7" s="79">
        <f>'Profitability Ratios'!F10</f>
        <v>6.3190422565422566E-2</v>
      </c>
      <c r="G7" s="223">
        <f>'Profitability Ratios'!G10</f>
        <v>-1.0059460139684138E-2</v>
      </c>
      <c r="H7" s="223">
        <f>'Profitability Ratios'!H10</f>
        <v>3.0147530468248876E-4</v>
      </c>
      <c r="I7" s="223">
        <f>'Profitability Ratios'!I10</f>
        <v>2.2932804450598112E-2</v>
      </c>
      <c r="J7" s="223">
        <f>'Profitability Ratios'!J10</f>
        <v>4.9312394754299126E-2</v>
      </c>
      <c r="K7" s="81">
        <f>'Profitability Ratios'!K10</f>
        <v>3.023056653491436E-2</v>
      </c>
      <c r="L7" s="82">
        <f>'Profitability Ratios'!L10</f>
        <v>2.1879756468797563E-2</v>
      </c>
      <c r="M7" s="82">
        <f>'Profitability Ratios'!M10</f>
        <v>-3.5397509968264303E-2</v>
      </c>
      <c r="N7" s="82">
        <f>'Profitability Ratios'!N10</f>
        <v>-4.5477843530124414E-2</v>
      </c>
      <c r="O7" s="82">
        <f>'Profitability Ratios'!O10</f>
        <v>-0.16685092269750829</v>
      </c>
      <c r="P7" s="248">
        <f>'Profitability Ratios'!P10</f>
        <v>-9.642675309551306E-2</v>
      </c>
      <c r="Q7" s="256">
        <v>2.3E-2</v>
      </c>
      <c r="R7" s="256">
        <v>1.6E-2</v>
      </c>
      <c r="S7" s="256">
        <v>3.3000000000000002E-2</v>
      </c>
      <c r="T7" s="256">
        <v>4.0000000000000001E-3</v>
      </c>
      <c r="U7" s="256">
        <v>1.4999999999999999E-2</v>
      </c>
    </row>
    <row r="8" spans="1:22">
      <c r="A8" s="159" t="s">
        <v>126</v>
      </c>
      <c r="B8" s="78">
        <f>'Profitability Ratios'!B12</f>
        <v>2.6561051727510054E-2</v>
      </c>
      <c r="C8" s="78">
        <f>'Profitability Ratios'!C12</f>
        <v>2.8859351771861583E-2</v>
      </c>
      <c r="D8" s="78">
        <f>'Profitability Ratios'!D12</f>
        <v>3.4820246416145055E-2</v>
      </c>
      <c r="E8" s="78">
        <f>'Profitability Ratios'!E12</f>
        <v>-1.8260370290189287E-2</v>
      </c>
      <c r="F8" s="79">
        <f>'Profitability Ratios'!F12</f>
        <v>4.2523343407460869E-2</v>
      </c>
      <c r="G8" s="223">
        <f>'Profitability Ratios'!G12</f>
        <v>-4.7855841293716625E-3</v>
      </c>
      <c r="H8" s="223">
        <f>'Profitability Ratios'!H12</f>
        <v>1.8179216127672248E-4</v>
      </c>
      <c r="I8" s="223">
        <f>'Profitability Ratios'!I12</f>
        <v>1.4333047477976145E-2</v>
      </c>
      <c r="J8" s="223">
        <f>'Profitability Ratios'!J12</f>
        <v>2.9907619460262443E-2</v>
      </c>
      <c r="K8" s="81">
        <f>'Profitability Ratios'!K12</f>
        <v>1.9285483145689657E-2</v>
      </c>
      <c r="L8" s="82">
        <f>'Profitability Ratios'!L12</f>
        <v>1.3231571680601366E-2</v>
      </c>
      <c r="M8" s="82">
        <f>'Profitability Ratios'!M12</f>
        <v>-2.5357777842548602E-2</v>
      </c>
      <c r="N8" s="82">
        <f>'Profitability Ratios'!N12</f>
        <v>-3.2817753866845996E-2</v>
      </c>
      <c r="O8" s="82">
        <f>'Profitability Ratios'!O12</f>
        <v>-6.8468841965746735E-2</v>
      </c>
      <c r="P8" s="248">
        <f>'Profitability Ratios'!P12</f>
        <v>-2.9782815765354829E-2</v>
      </c>
      <c r="Q8" s="256">
        <v>-7.0000000000000001E-3</v>
      </c>
      <c r="R8" s="256">
        <v>4.5999999999999999E-2</v>
      </c>
      <c r="S8" s="256">
        <v>4.5999999999999999E-2</v>
      </c>
      <c r="T8" s="256">
        <v>1.7999999999999999E-2</v>
      </c>
      <c r="U8" s="256">
        <v>0.02</v>
      </c>
    </row>
    <row r="9" spans="1:22">
      <c r="A9" s="160" t="s">
        <v>86</v>
      </c>
      <c r="B9" s="99">
        <f>'Liquidity and Efficiency Ratios'!B6</f>
        <v>1.0126892754348642</v>
      </c>
      <c r="C9" s="99">
        <f>'Liquidity and Efficiency Ratios'!C6</f>
        <v>0.88324598080207295</v>
      </c>
      <c r="D9" s="99">
        <f>'Liquidity and Efficiency Ratios'!D6</f>
        <v>0.91556112212264551</v>
      </c>
      <c r="E9" s="99">
        <f>'Liquidity and Efficiency Ratios'!E6</f>
        <v>0.89405644427103659</v>
      </c>
      <c r="F9" s="108">
        <f>'Liquidity and Efficiency Ratios'!F6</f>
        <v>0.89460090865333819</v>
      </c>
      <c r="G9" s="140">
        <f>'Liquidity and Efficiency Ratios'!G6</f>
        <v>1.2011688204790518</v>
      </c>
      <c r="H9" s="140">
        <f>'Liquidity and Efficiency Ratios'!H6</f>
        <v>1.1621795133086048</v>
      </c>
      <c r="I9" s="140">
        <f>'Liquidity and Efficiency Ratios'!I6</f>
        <v>1.1996463288304784</v>
      </c>
      <c r="J9" s="140">
        <f>'Liquidity and Efficiency Ratios'!J6</f>
        <v>1.2346828752642707</v>
      </c>
      <c r="K9" s="111">
        <f>'Liquidity and Efficiency Ratios'!K6</f>
        <v>1.2013712741329847</v>
      </c>
      <c r="L9" s="105">
        <f>'Liquidity and Efficiency Ratios'!L6</f>
        <v>1.8751403705783267</v>
      </c>
      <c r="M9" s="105">
        <f>'Liquidity and Efficiency Ratios'!M6</f>
        <v>1.1346207931002157</v>
      </c>
      <c r="N9" s="105">
        <f>'Liquidity and Efficiency Ratios'!N6</f>
        <v>0.83128189732812974</v>
      </c>
      <c r="O9" s="105">
        <f>'Liquidity and Efficiency Ratios'!O6</f>
        <v>0.85613062190296119</v>
      </c>
      <c r="P9" s="221">
        <f>'Liquidity and Efficiency Ratios'!P6</f>
        <v>1.0742733187975642</v>
      </c>
      <c r="Q9" s="258">
        <v>2.46</v>
      </c>
      <c r="R9" s="258">
        <v>1.51</v>
      </c>
      <c r="S9" s="258">
        <v>1.48</v>
      </c>
      <c r="T9" s="258">
        <v>1.54</v>
      </c>
      <c r="U9" s="258">
        <v>1.22</v>
      </c>
    </row>
    <row r="10" spans="1:22">
      <c r="A10" s="160" t="s">
        <v>109</v>
      </c>
      <c r="B10" s="99">
        <f>'Liquidity and Efficiency Ratios'!B11</f>
        <v>0.88460768364409958</v>
      </c>
      <c r="C10" s="99">
        <f>'Liquidity and Efficiency Ratios'!C11</f>
        <v>0.76077969495318298</v>
      </c>
      <c r="D10" s="99">
        <f>'Liquidity and Efficiency Ratios'!D11</f>
        <v>0.79619879129832072</v>
      </c>
      <c r="E10" s="99">
        <f>'Liquidity and Efficiency Ratios'!E11</f>
        <v>0.75537781245935753</v>
      </c>
      <c r="F10" s="108">
        <f>'Liquidity and Efficiency Ratios'!F11</f>
        <v>0.76499454103614661</v>
      </c>
      <c r="G10" s="140">
        <f>'Liquidity and Efficiency Ratios'!G11</f>
        <v>1.08996625236645</v>
      </c>
      <c r="H10" s="140">
        <f>'Liquidity and Efficiency Ratios'!H11</f>
        <v>1.0522663351404231</v>
      </c>
      <c r="I10" s="140">
        <f>'Liquidity and Efficiency Ratios'!I11</f>
        <v>1.0822442423798513</v>
      </c>
      <c r="J10" s="140">
        <f>'Liquidity and Efficiency Ratios'!J11</f>
        <v>1.1165433403805496</v>
      </c>
      <c r="K10" s="111">
        <f>'Liquidity and Efficiency Ratios'!K11</f>
        <v>1.1028123303906692</v>
      </c>
      <c r="L10" s="105">
        <f>'Liquidity and Efficiency Ratios'!L11</f>
        <v>1.5873104997192589</v>
      </c>
      <c r="M10" s="105">
        <f>'Liquidity and Efficiency Ratios'!M11</f>
        <v>0.80163119902503044</v>
      </c>
      <c r="N10" s="105">
        <f>'Liquidity and Efficiency Ratios'!N11</f>
        <v>0.519763834684279</v>
      </c>
      <c r="O10" s="105">
        <f>'Liquidity and Efficiency Ratios'!O11</f>
        <v>0.5611945529905521</v>
      </c>
      <c r="P10" s="221">
        <f>'Liquidity and Efficiency Ratios'!P11</f>
        <v>0.71946771969476608</v>
      </c>
      <c r="Q10" s="258">
        <v>1.41</v>
      </c>
      <c r="R10" s="258">
        <v>0.75</v>
      </c>
      <c r="S10" s="258">
        <v>0.96</v>
      </c>
      <c r="T10" s="258">
        <v>1.01</v>
      </c>
      <c r="U10" s="258">
        <v>0.81</v>
      </c>
    </row>
    <row r="11" spans="1:22" s="2" customFormat="1">
      <c r="A11" s="168" t="s">
        <v>161</v>
      </c>
      <c r="B11" s="68">
        <f>'Liquidity and Efficiency Ratios'!B13</f>
        <v>1014</v>
      </c>
      <c r="C11" s="68">
        <f>'Liquidity and Efficiency Ratios'!C13</f>
        <v>-9913</v>
      </c>
      <c r="D11" s="68">
        <f>'Liquidity and Efficiency Ratios'!D13</f>
        <v>-6944</v>
      </c>
      <c r="E11" s="68">
        <f>'Liquidity and Efficiency Ratios'!E13</f>
        <v>-8146</v>
      </c>
      <c r="F11" s="69">
        <f>'Liquidity and Efficiency Ratios'!F13</f>
        <v>-8978</v>
      </c>
      <c r="G11" s="70">
        <f>'Liquidity and Efficiency Ratios'!G13</f>
        <v>19552</v>
      </c>
      <c r="H11" s="70">
        <f>'Liquidity and Efficiency Ratios'!H13</f>
        <v>15915</v>
      </c>
      <c r="I11" s="70">
        <f>'Liquidity and Efficiency Ratios'!I13</f>
        <v>19080</v>
      </c>
      <c r="J11" s="70">
        <f>'Liquidity and Efficiency Ratios'!J13</f>
        <v>22201</v>
      </c>
      <c r="K11" s="71">
        <f>'Liquidity and Efficiency Ratios'!K13</f>
        <v>18180</v>
      </c>
      <c r="L11" s="72">
        <f>'Liquidity and Efficiency Ratios'!L13</f>
        <v>12469</v>
      </c>
      <c r="M11" s="72">
        <f>'Liquidity and Efficiency Ratios'!M13</f>
        <v>1436</v>
      </c>
      <c r="N11" s="72">
        <f>'Liquidity and Efficiency Ratios'!N13</f>
        <v>-1686</v>
      </c>
      <c r="O11" s="72">
        <f>'Liquidity and Efficiency Ratios'!O13</f>
        <v>-1104.1500000000005</v>
      </c>
      <c r="P11" s="249">
        <f>'Liquidity and Efficiency Ratios'!P13</f>
        <v>432.79100000000017</v>
      </c>
      <c r="Q11" s="251"/>
      <c r="R11" s="251"/>
      <c r="S11" s="251"/>
      <c r="T11" s="251"/>
      <c r="U11" s="251"/>
    </row>
    <row r="12" spans="1:22">
      <c r="A12" s="160" t="s">
        <v>137</v>
      </c>
      <c r="B12" s="99">
        <f>'Liquidity and Efficiency Ratios'!B14</f>
        <v>0.2086096858966337</v>
      </c>
      <c r="C12" s="99">
        <f>'Liquidity and Efficiency Ratios'!C14</f>
        <v>0.17691537600848006</v>
      </c>
      <c r="D12" s="99">
        <f>'Liquidity and Efficiency Ratios'!D14</f>
        <v>0.18551260381580068</v>
      </c>
      <c r="E12" s="99">
        <f>'Liquidity and Efficiency Ratios'!E14</f>
        <v>0.22536090518923138</v>
      </c>
      <c r="F12" s="108">
        <f>'Liquidity and Efficiency Ratios'!F14</f>
        <v>0.19496131766473745</v>
      </c>
      <c r="G12" s="140">
        <f>'Liquidity and Efficiency Ratios'!G14</f>
        <v>0.24970162153263642</v>
      </c>
      <c r="H12" s="140">
        <f>'Liquidity and Efficiency Ratios'!H14</f>
        <v>0.17974768678922268</v>
      </c>
      <c r="I12" s="140">
        <f>'Liquidity and Efficiency Ratios'!I14</f>
        <v>0.15718486119976144</v>
      </c>
      <c r="J12" s="140">
        <f>'Liquidity and Efficiency Ratios'!J14</f>
        <v>0.19128964059196618</v>
      </c>
      <c r="K12" s="111">
        <f>'Liquidity and Efficiency Ratios'!K14</f>
        <v>0.21986907544223036</v>
      </c>
      <c r="L12" s="105">
        <f>'Liquidity and Efficiency Ratios'!L14</f>
        <v>0.41711117349803484</v>
      </c>
      <c r="M12" s="105">
        <f>'Liquidity and Efficiency Ratios'!M14</f>
        <v>0.22546170432173995</v>
      </c>
      <c r="N12" s="105">
        <f>'Liquidity and Efficiency Ratios'!N14</f>
        <v>0.20994696287401182</v>
      </c>
      <c r="O12" s="105">
        <f>'Liquidity and Efficiency Ratios'!O14</f>
        <v>-7.9482244839191776E-3</v>
      </c>
      <c r="P12" s="221">
        <f>'Liquidity and Efficiency Ratios'!P14</f>
        <v>-2.125088274336473E-2</v>
      </c>
    </row>
    <row r="13" spans="1:22">
      <c r="A13" s="161" t="s">
        <v>90</v>
      </c>
      <c r="B13" s="99">
        <f>'Liquidity and Efficiency Ratios'!B17</f>
        <v>34.332065102515323</v>
      </c>
      <c r="C13" s="99">
        <f>'Liquidity and Efficiency Ratios'!C17</f>
        <v>30.789518517016184</v>
      </c>
      <c r="D13" s="99">
        <f>'Liquidity and Efficiency Ratios'!D17</f>
        <v>26.947966966018321</v>
      </c>
      <c r="E13" s="99">
        <f>'Liquidity and Efficiency Ratios'!E17</f>
        <v>30.559725810124295</v>
      </c>
      <c r="F13" s="108">
        <f>'Liquidity and Efficiency Ratios'!F17</f>
        <v>30.960484967691869</v>
      </c>
      <c r="G13" s="140">
        <f>'Liquidity and Efficiency Ratios'!G17</f>
        <v>34.987583368809425</v>
      </c>
      <c r="H13" s="140">
        <f>'Liquidity and Efficiency Ratios'!H17</f>
        <v>29.228616186438792</v>
      </c>
      <c r="I13" s="140">
        <f>'Liquidity and Efficiency Ratios'!I17</f>
        <v>30.053056821434076</v>
      </c>
      <c r="J13" s="140">
        <f>'Liquidity and Efficiency Ratios'!J17</f>
        <v>31.063120140723875</v>
      </c>
      <c r="K13" s="111">
        <f>'Liquidity and Efficiency Ratios'!K17</f>
        <v>25.736122667300606</v>
      </c>
      <c r="L13" s="105">
        <f>'Liquidity and Efficiency Ratios'!L17</f>
        <v>60.100578173933989</v>
      </c>
      <c r="M13" s="105">
        <f>'Liquidity and Efficiency Ratios'!M17</f>
        <v>63.215173826125117</v>
      </c>
      <c r="N13" s="105">
        <f>'Liquidity and Efficiency Ratios'!N17</f>
        <v>65.230208393133935</v>
      </c>
      <c r="O13" s="105">
        <f>'Liquidity and Efficiency Ratios'!O17</f>
        <v>86.639157403523484</v>
      </c>
      <c r="P13" s="221">
        <f>'Liquidity and Efficiency Ratios'!P17</f>
        <v>139.72193579744024</v>
      </c>
      <c r="Q13" s="258">
        <v>80</v>
      </c>
      <c r="R13" s="258">
        <v>64</v>
      </c>
      <c r="S13" s="258">
        <v>70</v>
      </c>
      <c r="T13" s="258">
        <v>58</v>
      </c>
      <c r="U13" s="258">
        <v>64</v>
      </c>
    </row>
    <row r="14" spans="1:22">
      <c r="A14" s="161" t="s">
        <v>91</v>
      </c>
      <c r="B14" s="99">
        <f>'Liquidity and Efficiency Ratios'!B20</f>
        <v>102.04563824141732</v>
      </c>
      <c r="C14" s="99">
        <f>'Liquidity and Efficiency Ratios'!C20</f>
        <v>88.826409787447986</v>
      </c>
      <c r="D14" s="99">
        <f>'Liquidity and Efficiency Ratios'!D20</f>
        <v>82.901855843970381</v>
      </c>
      <c r="E14" s="99">
        <f>'Liquidity and Efficiency Ratios'!E20</f>
        <v>71.915439459296095</v>
      </c>
      <c r="F14" s="108">
        <f>'Liquidity and Efficiency Ratios'!F20</f>
        <v>60.742807539682538</v>
      </c>
      <c r="G14" s="140">
        <f>'Liquidity and Efficiency Ratios'!G20</f>
        <v>28.687511797646764</v>
      </c>
      <c r="H14" s="140">
        <f>'Liquidity and Efficiency Ratios'!H20</f>
        <v>21.626074406670941</v>
      </c>
      <c r="I14" s="140">
        <f>'Liquidity and Efficiency Ratios'!I20</f>
        <v>25.484757200414126</v>
      </c>
      <c r="J14" s="140">
        <f>'Liquidity and Efficiency Ratios'!J20</f>
        <v>24.676194060315353</v>
      </c>
      <c r="K14" s="111">
        <f>'Liquidity and Efficiency Ratios'!K20</f>
        <v>26.694532279314888</v>
      </c>
      <c r="L14" s="105">
        <f>'Liquidity and Efficiency Ratios'!L20</f>
        <v>21.828703703703702</v>
      </c>
      <c r="M14" s="105">
        <f>'Liquidity and Efficiency Ratios'!M20</f>
        <v>19.662299617544146</v>
      </c>
      <c r="N14" s="105">
        <f>'Liquidity and Efficiency Ratios'!N20</f>
        <v>16.140207818834163</v>
      </c>
      <c r="O14" s="105">
        <f>'Liquidity and Efficiency Ratios'!O20</f>
        <v>15.997454290330811</v>
      </c>
      <c r="P14" s="221">
        <f>'Liquidity and Efficiency Ratios'!P20</f>
        <v>26.026199220243274</v>
      </c>
      <c r="Q14" s="258">
        <v>56</v>
      </c>
      <c r="R14" s="258">
        <v>39</v>
      </c>
      <c r="S14" s="258">
        <v>53</v>
      </c>
      <c r="T14" s="258">
        <v>56</v>
      </c>
      <c r="U14" s="258">
        <v>58</v>
      </c>
    </row>
    <row r="15" spans="1:22">
      <c r="A15" s="161" t="s">
        <v>94</v>
      </c>
      <c r="B15" s="99">
        <f>'Liquidity and Efficiency Ratios'!B23</f>
        <v>66.846056996866182</v>
      </c>
      <c r="C15" s="99">
        <f>'Liquidity and Efficiency Ratios'!C23</f>
        <v>62.236401249340851</v>
      </c>
      <c r="D15" s="99">
        <f>'Liquidity and Efficiency Ratios'!D23</f>
        <v>61.212186169652661</v>
      </c>
      <c r="E15" s="99">
        <f>'Liquidity and Efficiency Ratios'!E23</f>
        <v>68.579544116145954</v>
      </c>
      <c r="F15" s="108">
        <f>'Liquidity and Efficiency Ratios'!F23</f>
        <v>65.434872803546597</v>
      </c>
      <c r="G15" s="140">
        <f>'Liquidity and Efficiency Ratios'!G23</f>
        <v>71.878636299134385</v>
      </c>
      <c r="H15" s="140">
        <f>'Liquidity and Efficiency Ratios'!H23</f>
        <v>56.021062712984339</v>
      </c>
      <c r="I15" s="140">
        <f>'Liquidity and Efficiency Ratios'!I23</f>
        <v>57.641870124533092</v>
      </c>
      <c r="J15" s="140">
        <f>'Liquidity and Efficiency Ratios'!J23</f>
        <v>64.711127694732753</v>
      </c>
      <c r="K15" s="111">
        <f>'Liquidity and Efficiency Ratios'!K23</f>
        <v>61.59546733230318</v>
      </c>
      <c r="L15" s="105">
        <f>'Liquidity and Efficiency Ratios'!L23</f>
        <v>88.678029390508314</v>
      </c>
      <c r="M15" s="105">
        <f>'Liquidity and Efficiency Ratios'!M23</f>
        <v>67.112730996148031</v>
      </c>
      <c r="N15" s="105">
        <f>'Liquidity and Efficiency Ratios'!N23</f>
        <v>71.327860382341129</v>
      </c>
      <c r="O15" s="105">
        <f>'Liquidity and Efficiency Ratios'!O23</f>
        <v>91.479656040268452</v>
      </c>
      <c r="P15" s="221">
        <f>'Liquidity and Efficiency Ratios'!P23</f>
        <v>125.70185386627166</v>
      </c>
      <c r="Q15" s="258"/>
      <c r="R15" s="258"/>
      <c r="S15" s="258"/>
      <c r="T15" s="258"/>
      <c r="U15" s="258"/>
    </row>
    <row r="16" spans="1:22">
      <c r="A16" s="161" t="s">
        <v>96</v>
      </c>
      <c r="B16" s="99">
        <f>'Liquidity and Efficiency Ratios'!B24</f>
        <v>69.531646347066456</v>
      </c>
      <c r="C16" s="99">
        <f>'Liquidity and Efficiency Ratios'!C24</f>
        <v>57.379527055123326</v>
      </c>
      <c r="D16" s="99">
        <f>'Liquidity and Efficiency Ratios'!D24</f>
        <v>48.637636640336034</v>
      </c>
      <c r="E16" s="99">
        <f>'Liquidity and Efficiency Ratios'!E24</f>
        <v>33.895621153274433</v>
      </c>
      <c r="F16" s="108">
        <f>'Liquidity and Efficiency Ratios'!F24</f>
        <v>26.268419703827817</v>
      </c>
      <c r="G16" s="140">
        <f>'Liquidity and Efficiency Ratios'!G24</f>
        <v>-8.2035411326781968</v>
      </c>
      <c r="H16" s="140">
        <f>'Liquidity and Efficiency Ratios'!H24</f>
        <v>-5.1663721198746018</v>
      </c>
      <c r="I16" s="140">
        <f>'Liquidity and Efficiency Ratios'!I24</f>
        <v>-2.1040561026848863</v>
      </c>
      <c r="J16" s="140">
        <f>'Liquidity and Efficiency Ratios'!J24</f>
        <v>-8.9718134936935243</v>
      </c>
      <c r="K16" s="111">
        <f>'Liquidity and Efficiency Ratios'!K24</f>
        <v>-9.1648123856876893</v>
      </c>
      <c r="L16" s="105">
        <f>'Liquidity and Efficiency Ratios'!L24</f>
        <v>-6.7487475128706222</v>
      </c>
      <c r="M16" s="105">
        <f>'Liquidity and Efficiency Ratios'!M24</f>
        <v>15.764742447521229</v>
      </c>
      <c r="N16" s="105">
        <f>'Liquidity and Efficiency Ratios'!N24</f>
        <v>10.042555829626963</v>
      </c>
      <c r="O16" s="105">
        <f>'Liquidity and Efficiency Ratios'!O24</f>
        <v>11.15695565358584</v>
      </c>
      <c r="P16" s="221">
        <f>'Liquidity and Efficiency Ratios'!P24</f>
        <v>40.046281151411861</v>
      </c>
      <c r="Q16" s="259"/>
      <c r="R16" s="259"/>
      <c r="S16" s="259"/>
      <c r="T16" s="259"/>
      <c r="U16" s="259"/>
    </row>
    <row r="17" spans="1:22">
      <c r="A17" s="160" t="s">
        <v>105</v>
      </c>
      <c r="B17" s="99">
        <f>'Liquidity and Efficiency Ratios'!B27</f>
        <v>0.52078284309973899</v>
      </c>
      <c r="C17" s="99">
        <f>'Liquidity and Efficiency Ratios'!C27</f>
        <v>0.60181900305652158</v>
      </c>
      <c r="D17" s="99">
        <f>'Liquidity and Efficiency Ratios'!D27</f>
        <v>0.64682698525110083</v>
      </c>
      <c r="E17" s="99">
        <f>'Liquidity and Efficiency Ratios'!E27</f>
        <v>0.68517803861032933</v>
      </c>
      <c r="F17" s="108">
        <f>'Liquidity and Efficiency Ratios'!F27</f>
        <v>0.67293969055888858</v>
      </c>
      <c r="G17" s="140">
        <f>'Liquidity and Efficiency Ratios'!G27</f>
        <v>0.47572971739236175</v>
      </c>
      <c r="H17" s="140">
        <f>'Liquidity and Efficiency Ratios'!H27</f>
        <v>0.60300846687321352</v>
      </c>
      <c r="I17" s="140">
        <f>'Liquidity and Efficiency Ratios'!I27</f>
        <v>0.62500194901379902</v>
      </c>
      <c r="J17" s="140">
        <f>'Liquidity and Efficiency Ratios'!J27</f>
        <v>0.60649294379796981</v>
      </c>
      <c r="K17" s="111">
        <f>'Liquidity and Efficiency Ratios'!K27</f>
        <v>0.63794646797029642</v>
      </c>
      <c r="L17" s="105">
        <f>'Liquidity and Efficiency Ratios'!L27</f>
        <v>0.60474035437600671</v>
      </c>
      <c r="M17" s="105">
        <f>'Liquidity and Efficiency Ratios'!M27</f>
        <v>0.71637179748753976</v>
      </c>
      <c r="N17" s="105">
        <f>'Liquidity and Efficiency Ratios'!N27</f>
        <v>0.72162071284465368</v>
      </c>
      <c r="O17" s="105">
        <f>'Liquidity and Efficiency Ratios'!O27</f>
        <v>0.41035938464587968</v>
      </c>
      <c r="P17" s="221">
        <f>'Liquidity and Efficiency Ratios'!P27</f>
        <v>0.30886465435431826</v>
      </c>
    </row>
    <row r="18" spans="1:22">
      <c r="A18" s="159" t="s">
        <v>117</v>
      </c>
      <c r="B18" s="99">
        <f>'Liquidity and Efficiency Ratios'!B29</f>
        <v>790225.80645161285</v>
      </c>
      <c r="C18" s="99">
        <f>'Liquidity and Efficiency Ratios'!C29</f>
        <v>836810.97560975607</v>
      </c>
      <c r="D18" s="99">
        <f>'Liquidity and Efficiency Ratios'!D29</f>
        <v>849994.21965317917</v>
      </c>
      <c r="E18" s="99">
        <f>'Liquidity and Efficiency Ratios'!E29</f>
        <v>808822.22222222225</v>
      </c>
      <c r="F18" s="108">
        <f>'Liquidity and Efficiency Ratios'!F29</f>
        <v>663040</v>
      </c>
      <c r="G18" s="140">
        <f>'Liquidity and Efficiency Ratios'!G29</f>
        <v>632557.21393034828</v>
      </c>
      <c r="H18" s="140">
        <f>'Liquidity and Efficiency Ratios'!H29</f>
        <v>771782.17821782175</v>
      </c>
      <c r="I18" s="140">
        <f>'Liquidity and Efficiency Ratios'!I29</f>
        <v>805718.59296482417</v>
      </c>
      <c r="J18" s="140">
        <f>'Liquidity and Efficiency Ratios'!J29</f>
        <v>825136.84210526315</v>
      </c>
      <c r="K18" s="111">
        <f>'Liquidity and Efficiency Ratios'!K29</f>
        <v>816129.03225806449</v>
      </c>
      <c r="L18" s="105">
        <f>'Liquidity and Efficiency Ratios'!L29</f>
        <v>445694.41892674932</v>
      </c>
      <c r="M18" s="105">
        <f>'Liquidity and Efficiency Ratios'!M29</f>
        <v>511871.04298567143</v>
      </c>
      <c r="N18" s="105">
        <f>'Liquidity and Efficiency Ratios'!N29</f>
        <v>439621.44334965281</v>
      </c>
      <c r="O18" s="105">
        <f>'Liquidity and Efficiency Ratios'!O29</f>
        <v>313214.18107237032</v>
      </c>
      <c r="P18" s="221">
        <f>'Liquidity and Efficiency Ratios'!P29</f>
        <v>393663.92981666856</v>
      </c>
    </row>
    <row r="19" spans="1:22">
      <c r="A19" s="161" t="s">
        <v>107</v>
      </c>
      <c r="B19" s="99">
        <f>'Gearing Ratios'!B6</f>
        <v>6.0418943533697629</v>
      </c>
      <c r="C19" s="99">
        <f>'Gearing Ratios'!C6</f>
        <v>7.0089514066496168</v>
      </c>
      <c r="D19" s="99">
        <f>'Gearing Ratios'!D6</f>
        <v>6.7862595419847329</v>
      </c>
      <c r="E19" s="99">
        <f>'Gearing Ratios'!E6</f>
        <v>15.062608695652173</v>
      </c>
      <c r="F19" s="108">
        <f>'Gearing Ratios'!F6</f>
        <v>15.428063943161634</v>
      </c>
      <c r="G19" s="140">
        <f>'Gearing Ratios'!G6</f>
        <v>-3.5605815831987075</v>
      </c>
      <c r="H19" s="140">
        <f>'Gearing Ratios'!H6</f>
        <v>0.4079601990049751</v>
      </c>
      <c r="I19" s="140">
        <f>'Gearing Ratios'!I6</f>
        <v>2.5400475812846945</v>
      </c>
      <c r="J19" s="140">
        <f>'Gearing Ratios'!J6</f>
        <v>3.4690831556503197</v>
      </c>
      <c r="K19" s="111">
        <f>'Gearing Ratios'!K6</f>
        <v>4.5884218873909592</v>
      </c>
      <c r="L19" s="105">
        <f>'Gearing Ratios'!L6</f>
        <v>2.6657754010695189</v>
      </c>
      <c r="M19" s="105">
        <f>'Gearing Ratios'!M6</f>
        <v>-0.10072992700729927</v>
      </c>
      <c r="N19" s="105">
        <f>'Gearing Ratios'!N6</f>
        <v>-0.58521870286576172</v>
      </c>
      <c r="O19" s="105">
        <f>'Gearing Ratios'!O6</f>
        <v>-3.4649681528662422</v>
      </c>
      <c r="P19" s="221">
        <f>'Gearing Ratios'!P6</f>
        <v>-3.3534673366834196</v>
      </c>
      <c r="Q19" s="258">
        <v>1.48</v>
      </c>
      <c r="R19" s="258">
        <v>2.68</v>
      </c>
      <c r="S19" s="258">
        <v>3.2</v>
      </c>
      <c r="T19" s="258">
        <v>6.07</v>
      </c>
      <c r="U19" s="258">
        <v>3.13</v>
      </c>
    </row>
    <row r="20" spans="1:22">
      <c r="A20" s="162" t="s">
        <v>128</v>
      </c>
      <c r="B20" s="78">
        <f>'Gearing Ratios'!B9</f>
        <v>3.7344646415846365</v>
      </c>
      <c r="C20" s="78">
        <f>'Gearing Ratios'!C9</f>
        <v>3.9619644450246971</v>
      </c>
      <c r="D20" s="78">
        <f>'Gearing Ratios'!D9</f>
        <v>4.31451480936017</v>
      </c>
      <c r="E20" s="78">
        <f>'Gearing Ratios'!E9</f>
        <v>4.869668508287293</v>
      </c>
      <c r="F20" s="79">
        <f>'Gearing Ratios'!F9</f>
        <v>4.0298355076574017</v>
      </c>
      <c r="G20" s="223">
        <f>'Gearing Ratios'!G9</f>
        <v>7.6742072636396088</v>
      </c>
      <c r="H20" s="223">
        <f>'Gearing Ratios'!H9</f>
        <v>6.7802287089978934</v>
      </c>
      <c r="I20" s="223">
        <f>'Gearing Ratios'!I9</f>
        <v>6.132847689484513</v>
      </c>
      <c r="J20" s="223">
        <f>'Gearing Ratios'!J9</f>
        <v>6.2599000168510921</v>
      </c>
      <c r="K20" s="81">
        <f>'Gearing Ratios'!K9</f>
        <v>7.1526364477335802</v>
      </c>
      <c r="L20" s="82">
        <f>'Gearing Ratios'!L9</f>
        <v>1.2599349945828819</v>
      </c>
      <c r="M20" s="82">
        <f>'Gearing Ratios'!M9</f>
        <v>3.5947502343645374</v>
      </c>
      <c r="N20" s="82">
        <f>'Gearing Ratios'!N9</f>
        <v>4.1658850095535866</v>
      </c>
      <c r="O20" s="82">
        <f>'Gearing Ratios'!O9</f>
        <v>4.4716747479946877</v>
      </c>
      <c r="P20" s="248">
        <f>'Gearing Ratios'!P9</f>
        <v>3.0924014181072668</v>
      </c>
      <c r="Q20" s="256">
        <v>0.6</v>
      </c>
      <c r="R20" s="256">
        <v>1.62</v>
      </c>
      <c r="S20" s="256">
        <v>0.93</v>
      </c>
      <c r="T20" s="256">
        <v>1.17</v>
      </c>
      <c r="U20" s="256">
        <v>0.89</v>
      </c>
    </row>
    <row r="21" spans="1:22">
      <c r="A21" s="163" t="s">
        <v>127</v>
      </c>
      <c r="B21" s="78">
        <f>'Gearing Ratios'!B11</f>
        <v>0.78878287711421213</v>
      </c>
      <c r="C21" s="78">
        <f>'Gearing Ratios'!C11</f>
        <v>0.79846691545670223</v>
      </c>
      <c r="D21" s="78">
        <f>'Gearing Ratios'!D11</f>
        <v>0.81183606860239554</v>
      </c>
      <c r="E21" s="78">
        <f>'Gearing Ratios'!E11</f>
        <v>0.82963262770493496</v>
      </c>
      <c r="F21" s="79">
        <f>'Gearing Ratios'!F11</f>
        <v>0.80118634128738331</v>
      </c>
      <c r="G21" s="223">
        <f>'Gearing Ratios'!G11</f>
        <v>0.88471568990612171</v>
      </c>
      <c r="H21" s="223">
        <f>'Gearing Ratios'!H11</f>
        <v>0.87146907405903218</v>
      </c>
      <c r="I21" s="223">
        <f>'Gearing Ratios'!I11</f>
        <v>0.85980353940905907</v>
      </c>
      <c r="J21" s="223">
        <f>'Gearing Ratios'!J11</f>
        <v>0.86225705620203019</v>
      </c>
      <c r="K21" s="81">
        <f>'Gearing Ratios'!K11</f>
        <v>0.87734029274934755</v>
      </c>
      <c r="L21" s="82">
        <f>'Gearing Ratios'!L11</f>
        <v>0.55750939633351226</v>
      </c>
      <c r="M21" s="82">
        <f>'Gearing Ratios'!M11</f>
        <v>0.78236031362033287</v>
      </c>
      <c r="N21" s="82">
        <f>'Gearing Ratios'!N11</f>
        <v>0.80642232683254877</v>
      </c>
      <c r="O21" s="82">
        <f>'Gearing Ratios'!O11</f>
        <v>0.81732638594441465</v>
      </c>
      <c r="P21" s="248">
        <f>'Gearing Ratios'!P11</f>
        <v>0.75564452748923006</v>
      </c>
    </row>
    <row r="22" spans="1:22">
      <c r="A22" s="163" t="s">
        <v>176</v>
      </c>
      <c r="B22" s="99">
        <f>'Gearing Ratios'!B13</f>
        <v>2.2163778005918231</v>
      </c>
      <c r="C22" s="99">
        <f>'Gearing Ratios'!C13</f>
        <v>2.2534760754618448</v>
      </c>
      <c r="D22" s="99">
        <f>'Gearing Ratios'!D13</f>
        <v>2.4534446080837835</v>
      </c>
      <c r="E22" s="99">
        <f>'Gearing Ratios'!E13</f>
        <v>2.6027348066298344</v>
      </c>
      <c r="F22" s="99">
        <f>'Gearing Ratios'!F13</f>
        <v>1.704435621100397</v>
      </c>
      <c r="G22" s="102">
        <f>'Gearing Ratios'!G13</f>
        <v>5.2580896433092077</v>
      </c>
      <c r="H22" s="102">
        <f>'Gearing Ratios'!H13</f>
        <v>4.6847427023773696</v>
      </c>
      <c r="I22" s="102">
        <f>'Gearing Ratios'!I13</f>
        <v>4.2877439804259581</v>
      </c>
      <c r="J22" s="102">
        <f>'Gearing Ratios'!J13</f>
        <v>4.3331741841262712</v>
      </c>
      <c r="K22" s="111">
        <f>'Gearing Ratios'!K13</f>
        <v>4.8984136773220959</v>
      </c>
      <c r="L22" s="284">
        <f>'Gearing Ratios'!L13</f>
        <v>0.52290357529794151</v>
      </c>
      <c r="M22" s="285">
        <f>'Gearing Ratios'!M13</f>
        <v>1.8352752109280837</v>
      </c>
      <c r="N22" s="285">
        <f>'Gearing Ratios'!N13</f>
        <v>2.1043946499913151</v>
      </c>
      <c r="O22" s="285">
        <f>'Gearing Ratios'!O13</f>
        <v>1.9851485072899968</v>
      </c>
      <c r="P22" s="221">
        <f>'Gearing Ratios'!P13</f>
        <v>1.2793445244440045</v>
      </c>
    </row>
    <row r="23" spans="1:22">
      <c r="A23" s="160" t="s">
        <v>168</v>
      </c>
      <c r="B23" s="78">
        <f>'Investment Ratios'!B6</f>
        <v>0.12575236024719688</v>
      </c>
      <c r="C23" s="78">
        <f>'Investment Ratios'!C6</f>
        <v>0.14319907739843768</v>
      </c>
      <c r="D23" s="78">
        <f>'Investment Ratios'!D6</f>
        <v>0.18505271524417327</v>
      </c>
      <c r="E23" s="78">
        <f>'Investment Ratios'!E6</f>
        <v>-0.10718232044198896</v>
      </c>
      <c r="F23" s="79">
        <f>'Investment Ratios'!F6</f>
        <v>0.213885422575156</v>
      </c>
      <c r="G23" s="223">
        <f>'Investment Ratios'!G6</f>
        <v>-4.1511148615754112E-2</v>
      </c>
      <c r="H23" s="223">
        <f>'Investment Ratios'!H6</f>
        <v>1.4143845922359314E-3</v>
      </c>
      <c r="I23" s="223">
        <f>'Investment Ratios'!I6</f>
        <v>0.10223544458655397</v>
      </c>
      <c r="J23" s="223">
        <f>'Investment Ratios'!J6</f>
        <v>0.21712632702353535</v>
      </c>
      <c r="K23" s="81">
        <f>'Investment Ratios'!K6</f>
        <v>0.15722753280570118</v>
      </c>
      <c r="L23" s="82">
        <f>'Investment Ratios'!L6</f>
        <v>2.990249187432286E-2</v>
      </c>
      <c r="M23" s="82">
        <f>'Investment Ratios'!M6</f>
        <v>-0.11651265568501407</v>
      </c>
      <c r="N23" s="82">
        <f>'Investment Ratios'!N6</f>
        <v>-0.16953274274795901</v>
      </c>
      <c r="O23" s="82">
        <f>'Investment Ratios'!O6</f>
        <v>-0.37459991125686098</v>
      </c>
      <c r="P23" s="248">
        <f>'Investment Ratios'!P6</f>
        <v>-0.12188326436245302</v>
      </c>
      <c r="Q23" s="256">
        <v>4.4900000000000002E-2</v>
      </c>
      <c r="R23" s="256">
        <v>0.12559999999999999</v>
      </c>
      <c r="S23" s="256">
        <v>7.3200000000000001E-2</v>
      </c>
      <c r="T23" s="256">
        <v>8.6400000000000005E-2</v>
      </c>
      <c r="U23" s="256">
        <v>0.31509999999999999</v>
      </c>
      <c r="V23" s="26" t="s">
        <v>170</v>
      </c>
    </row>
    <row r="24" spans="1:22">
      <c r="A24" s="160" t="s">
        <v>104</v>
      </c>
      <c r="B24" s="78">
        <f>'Profitability Ratios'!B15</f>
        <v>4.2721722778908323E-2</v>
      </c>
      <c r="C24" s="78">
        <f>'Profitability Ratios'!C15</f>
        <v>3.829332364530643E-2</v>
      </c>
      <c r="D24" s="78">
        <f>'Profitability Ratios'!D15</f>
        <v>3.0633623244338465E-2</v>
      </c>
      <c r="E24" s="78">
        <f>'Profitability Ratios'!E15</f>
        <v>6.3875449879048918E-2</v>
      </c>
      <c r="F24" s="79">
        <f>'Profitability Ratios'!F15</f>
        <v>6.3629504281768973E-2</v>
      </c>
      <c r="G24" s="223">
        <f>'Profitability Ratios'!G15</f>
        <v>-2.5918891743939226E-2</v>
      </c>
      <c r="H24" s="223">
        <f>'Profitability Ratios'!H15</f>
        <v>3.5784420685140736E-3</v>
      </c>
      <c r="I24" s="223">
        <f>'Profitability Ratios'!I15</f>
        <v>1.9897994048617453E-2</v>
      </c>
      <c r="J24" s="223">
        <f>'Profitability Ratios'!J15</f>
        <v>2.9781080685312638E-2</v>
      </c>
      <c r="K24" s="81">
        <f>'Profitability Ratios'!K15</f>
        <v>3.9181959775174378E-2</v>
      </c>
      <c r="L24" s="82">
        <f>'Profitability Ratios'!L15</f>
        <v>5.261213720316623E-2</v>
      </c>
      <c r="M24" s="82">
        <f>'Profitability Ratios'!M15</f>
        <v>-2.9185348109297014E-3</v>
      </c>
      <c r="N24" s="82">
        <f>'Profitability Ratios'!N15</f>
        <v>-1.9648554210766191E-2</v>
      </c>
      <c r="O24" s="82">
        <f>'Profitability Ratios'!O15</f>
        <v>-7.7774624008302068E-2</v>
      </c>
      <c r="P24" s="248">
        <f>'Profitability Ratios'!P15</f>
        <v>-3.9635171591059899E-2</v>
      </c>
    </row>
    <row r="25" spans="1:22">
      <c r="A25" s="161" t="s">
        <v>106</v>
      </c>
      <c r="B25" s="99">
        <f>'Investment Ratios'!B7</f>
        <v>4.3321775312066571</v>
      </c>
      <c r="C25" s="99">
        <f>'Investment Ratios'!C7</f>
        <v>4.5733148019457959</v>
      </c>
      <c r="D25" s="99">
        <f>'Investment Ratios'!D7</f>
        <v>5.5202231520223153</v>
      </c>
      <c r="E25" s="99">
        <f>'Investment Ratios'!E7</f>
        <v>-2.6005361930294906</v>
      </c>
      <c r="F25" s="108">
        <f>'Investment Ratios'!F7</f>
        <v>6.0044585987261145</v>
      </c>
      <c r="G25" s="140">
        <f>'Investment Ratios'!G7</f>
        <v>-0.32192298011578152</v>
      </c>
      <c r="H25" s="140">
        <f>'Investment Ratios'!H7</f>
        <v>1.1738261738261738E-2</v>
      </c>
      <c r="I25" s="140">
        <f>'Investment Ratios'!I7</f>
        <v>0.91970985492746371</v>
      </c>
      <c r="J25" s="140">
        <f>'Investment Ratios'!J7</f>
        <v>1.9337168584292146</v>
      </c>
      <c r="K25" s="111">
        <f>'Investment Ratios'!K7</f>
        <v>1.1475368842210552</v>
      </c>
      <c r="L25" s="105">
        <f>'Investment Ratios'!L7</f>
        <v>0.63711911357340723</v>
      </c>
      <c r="M25" s="105">
        <f>'Investment Ratios'!M7</f>
        <v>-0.98083427282976321</v>
      </c>
      <c r="N25" s="105">
        <f>'Investment Ratios'!N7</f>
        <v>-1.1441969519343493</v>
      </c>
      <c r="O25" s="105">
        <f>'Investment Ratios'!O7</f>
        <v>-2.3638554216867469</v>
      </c>
      <c r="P25" s="221">
        <f>'Investment Ratios'!P7</f>
        <v>-0.93619972260748963</v>
      </c>
    </row>
    <row r="26" spans="1:22">
      <c r="A26" s="163" t="s">
        <v>115</v>
      </c>
      <c r="B26" s="99">
        <f>'Investment Ratios'!B9</f>
        <v>9.6117944613414448</v>
      </c>
      <c r="C26" s="99">
        <f>'Investment Ratios'!C9</f>
        <v>8.0029478802613578</v>
      </c>
      <c r="D26" s="99">
        <f>'Investment Ratios'!D9</f>
        <v>6.059537645275392</v>
      </c>
      <c r="E26" s="99">
        <f>'Investment Ratios'!E9</f>
        <v>-15.762134020618557</v>
      </c>
      <c r="F26" s="108">
        <f>'Investment Ratios'!F9</f>
        <v>5.8023549379442034</v>
      </c>
      <c r="G26" s="140">
        <f>'Investment Ratios'!G9</f>
        <v>-27.304667709147768</v>
      </c>
      <c r="H26" s="140">
        <f>'Investment Ratios'!H9</f>
        <v>788.02127659574467</v>
      </c>
      <c r="I26" s="140">
        <f>'Investment Ratios'!I9</f>
        <v>8.3178406309491439</v>
      </c>
      <c r="J26" s="140">
        <f>'Investment Ratios'!J9</f>
        <v>6.4590635105419745</v>
      </c>
      <c r="K26" s="111">
        <f>'Investment Ratios'!K9</f>
        <v>10.570466332534323</v>
      </c>
      <c r="L26" s="105">
        <f>'Investment Ratios'!L9</f>
        <v>1107.5950869565215</v>
      </c>
      <c r="M26" s="105">
        <f>'Investment Ratios'!M9</f>
        <v>-85.294735632183901</v>
      </c>
      <c r="N26" s="105">
        <f>'Investment Ratios'!N9</f>
        <v>-57.699856557377046</v>
      </c>
      <c r="O26" s="105">
        <f>'Investment Ratios'!O9</f>
        <v>-26.342558613659534</v>
      </c>
      <c r="P26" s="221">
        <f>'Investment Ratios'!P9</f>
        <v>-45.641970370370366</v>
      </c>
    </row>
    <row r="27" spans="1:22">
      <c r="A27" s="163" t="s">
        <v>130</v>
      </c>
      <c r="B27" s="99">
        <f>'Investment Ratios'!B11</f>
        <v>0.49022231293627794</v>
      </c>
      <c r="C27" s="99">
        <f>'Investment Ratios'!C11</f>
        <v>0.38376968310295329</v>
      </c>
      <c r="D27" s="99">
        <f>'Investment Ratios'!D11</f>
        <v>0.3261994301219322</v>
      </c>
      <c r="E27" s="99">
        <f>'Investment Ratios'!E11</f>
        <v>0.42006951122345249</v>
      </c>
      <c r="F27" s="108">
        <f>'Investment Ratios'!F11</f>
        <v>0.36665326040326046</v>
      </c>
      <c r="G27" s="140">
        <f>'Investment Ratios'!G11</f>
        <v>0.27467021644749257</v>
      </c>
      <c r="H27" s="140">
        <f>'Investment Ratios'!H11</f>
        <v>0.23756895445798587</v>
      </c>
      <c r="I27" s="140">
        <f>'Investment Ratios'!I11</f>
        <v>0.19075141264079631</v>
      </c>
      <c r="J27" s="140">
        <f>'Investment Ratios'!J11</f>
        <v>0.31851188957493493</v>
      </c>
      <c r="K27" s="111">
        <f>'Investment Ratios'!K11</f>
        <v>0.31955118577075098</v>
      </c>
      <c r="L27" s="105">
        <f>'Investment Ratios'!L11</f>
        <v>24.233910768645359</v>
      </c>
      <c r="M27" s="105">
        <f>'Investment Ratios'!M11</f>
        <v>3.0192212547806978</v>
      </c>
      <c r="N27" s="105">
        <f>'Investment Ratios'!N11</f>
        <v>2.624065048227016</v>
      </c>
      <c r="O27" s="105">
        <f>'Investment Ratios'!O11</f>
        <v>4.3952802109022873</v>
      </c>
      <c r="P27" s="221">
        <f>'Investment Ratios'!P11</f>
        <v>4.4011070076964263</v>
      </c>
    </row>
    <row r="28" spans="1:22">
      <c r="A28" s="163" t="s">
        <v>138</v>
      </c>
      <c r="B28" s="78">
        <f>'Investment Ratios'!B13</f>
        <v>1.1141666033806712E-2</v>
      </c>
      <c r="C28" s="78">
        <f>'Investment Ratios'!C13</f>
        <v>4.461963187854346E-2</v>
      </c>
      <c r="D28" s="78">
        <f>'Investment Ratios'!D13</f>
        <v>4.6740175077604945E-2</v>
      </c>
      <c r="E28" s="78">
        <f>'Investment Ratios'!E13</f>
        <v>3.651253460760389E-2</v>
      </c>
      <c r="F28" s="79">
        <f>'Investment Ratios'!F13</f>
        <v>4.3291626141706945E-2</v>
      </c>
      <c r="G28" s="223">
        <f>'Investment Ratios'!G13</f>
        <v>1.7066278151126477E-2</v>
      </c>
      <c r="H28" s="223">
        <f>'Investment Ratios'!H13</f>
        <v>6.4503064503064506E-2</v>
      </c>
      <c r="I28" s="223">
        <f>'Investment Ratios'!I13</f>
        <v>9.4982131588670152E-2</v>
      </c>
      <c r="J28" s="223">
        <f>'Investment Ratios'!J13</f>
        <v>5.1747250727044863E-2</v>
      </c>
      <c r="K28" s="81">
        <f>'Investment Ratios'!K13</f>
        <v>6.9596954061268812E-2</v>
      </c>
      <c r="L28" s="82">
        <f>'Investment Ratios'!L13</f>
        <v>0</v>
      </c>
      <c r="M28" s="82">
        <f>'Investment Ratios'!M13</f>
        <v>0</v>
      </c>
      <c r="N28" s="82">
        <f>'Investment Ratios'!N13</f>
        <v>0</v>
      </c>
      <c r="O28" s="82">
        <f>'Investment Ratios'!O13</f>
        <v>0</v>
      </c>
      <c r="P28" s="248">
        <f>'Investment Ratios'!P13</f>
        <v>0</v>
      </c>
    </row>
    <row r="29" spans="1:22" s="156" customFormat="1">
      <c r="A29" s="164" t="s">
        <v>132</v>
      </c>
      <c r="B29" s="157">
        <f>'Investment Ratios'!B14</f>
        <v>9.3378176382660687</v>
      </c>
      <c r="C29" s="157">
        <f>'Investment Ratios'!C14</f>
        <v>2.8004255319148936</v>
      </c>
      <c r="D29" s="157">
        <f>'Investment Ratios'!D14</f>
        <v>3.5307760927743086</v>
      </c>
      <c r="E29" s="157">
        <f>'Investment Ratios'!E14</f>
        <v>-1.7375727720555307</v>
      </c>
      <c r="F29" s="209">
        <f>'Investment Ratios'!F14</f>
        <v>3.9809966216216215</v>
      </c>
      <c r="G29" s="224">
        <f>'Investment Ratios'!G14</f>
        <v>-2.1459731543624163</v>
      </c>
      <c r="H29" s="224">
        <f>'Investment Ratios'!H14</f>
        <v>1.9673503557974047E-2</v>
      </c>
      <c r="I29" s="224">
        <f>'Investment Ratios'!I14</f>
        <v>1.2657487091222031</v>
      </c>
      <c r="J29" s="224">
        <f>'Investment Ratios'!J14</f>
        <v>2.9918730650154797</v>
      </c>
      <c r="K29" s="208">
        <f>'Investment Ratios'!K14</f>
        <v>1.3593009478672986</v>
      </c>
      <c r="L29" s="158">
        <f>'Investment Ratios'!L14</f>
        <v>0</v>
      </c>
      <c r="M29" s="158">
        <f>'Investment Ratios'!M14</f>
        <v>0</v>
      </c>
      <c r="N29" s="158">
        <f>'Investment Ratios'!N14</f>
        <v>0</v>
      </c>
      <c r="O29" s="158">
        <f>'Investment Ratios'!O14</f>
        <v>0</v>
      </c>
      <c r="P29" s="250">
        <f>'Investment Ratios'!P14</f>
        <v>0</v>
      </c>
      <c r="Q29" s="181"/>
      <c r="R29" s="252"/>
      <c r="S29" s="252"/>
      <c r="T29" s="252"/>
      <c r="U29" s="252"/>
    </row>
    <row r="30" spans="1:22">
      <c r="A30" s="163" t="s">
        <v>131</v>
      </c>
      <c r="B30" s="78">
        <f>'Investment Ratios'!B15</f>
        <v>0.10709140387385946</v>
      </c>
      <c r="C30" s="78">
        <f>'Investment Ratios'!C15</f>
        <v>0.35708858836043156</v>
      </c>
      <c r="D30" s="78">
        <f>'Investment Ratios'!D15</f>
        <v>0.28322385042950987</v>
      </c>
      <c r="E30" s="78">
        <f>'Investment Ratios'!E15</f>
        <v>-0.57551546391752573</v>
      </c>
      <c r="F30" s="79">
        <f>'Investment Ratios'!F15</f>
        <v>0.25119338071496766</v>
      </c>
      <c r="G30" s="223">
        <f>'Investment Ratios'!G15</f>
        <v>-0.46598905394839718</v>
      </c>
      <c r="H30" s="223">
        <f>'Investment Ratios'!H15</f>
        <v>50.829787234042556</v>
      </c>
      <c r="I30" s="223">
        <f>'Investment Ratios'!I15</f>
        <v>0.79004623334239865</v>
      </c>
      <c r="J30" s="223">
        <f>'Investment Ratios'!J15</f>
        <v>0.33423877894192211</v>
      </c>
      <c r="K30" s="81">
        <f>'Investment Ratios'!K15</f>
        <v>0.7356722597515799</v>
      </c>
      <c r="L30" s="82">
        <f>'Investment Ratios'!L15</f>
        <v>0</v>
      </c>
      <c r="M30" s="82">
        <f>'Investment Ratios'!M15</f>
        <v>0</v>
      </c>
      <c r="N30" s="82">
        <f>'Investment Ratios'!N15</f>
        <v>0</v>
      </c>
      <c r="O30" s="82">
        <f>'Investment Ratios'!O15</f>
        <v>0</v>
      </c>
      <c r="P30" s="248">
        <f>'Investment Ratios'!P15</f>
        <v>0</v>
      </c>
    </row>
    <row r="31" spans="1:22">
      <c r="A31" s="163" t="s">
        <v>134</v>
      </c>
      <c r="B31" s="78">
        <f>'Investment Ratios'!B16</f>
        <v>0.89290859612614049</v>
      </c>
      <c r="C31" s="78">
        <f>'Investment Ratios'!C16</f>
        <v>0.64291141163956844</v>
      </c>
      <c r="D31" s="78">
        <f>'Investment Ratios'!D16</f>
        <v>0.71677614957049007</v>
      </c>
      <c r="E31" s="78">
        <f>'Investment Ratios'!E16</f>
        <v>1.5755154639175257</v>
      </c>
      <c r="F31" s="79">
        <f>'Investment Ratios'!F16</f>
        <v>0.74880661928503234</v>
      </c>
      <c r="G31" s="223">
        <f>'Investment Ratios'!G16</f>
        <v>1.4659890539483973</v>
      </c>
      <c r="H31" s="223">
        <f>'Investment Ratios'!H16</f>
        <v>-49.829787234042556</v>
      </c>
      <c r="I31" s="223">
        <f>'Investment Ratios'!I16</f>
        <v>0.20995376665760135</v>
      </c>
      <c r="J31" s="223">
        <f>'Investment Ratios'!J16</f>
        <v>0.66576122105807789</v>
      </c>
      <c r="K31" s="81">
        <f>'Investment Ratios'!K16</f>
        <v>0.2643277402484201</v>
      </c>
      <c r="L31" s="82">
        <f>'Investment Ratios'!L16</f>
        <v>1</v>
      </c>
      <c r="M31" s="82">
        <f>'Investment Ratios'!M16</f>
        <v>1</v>
      </c>
      <c r="N31" s="82">
        <f>'Investment Ratios'!N16</f>
        <v>1</v>
      </c>
      <c r="O31" s="82">
        <f>'Investment Ratios'!O16</f>
        <v>1</v>
      </c>
      <c r="P31" s="248">
        <f>'Investment Ratios'!P16</f>
        <v>1</v>
      </c>
    </row>
    <row r="32" spans="1:22">
      <c r="A32" s="163" t="s">
        <v>133</v>
      </c>
      <c r="B32" s="78">
        <f>'Investment Ratios'!B17</f>
        <v>0.11228536344787324</v>
      </c>
      <c r="C32" s="78">
        <f>'Investment Ratios'!C17</f>
        <v>9.2064320995713392E-2</v>
      </c>
      <c r="D32" s="78">
        <f>'Investment Ratios'!D17</f>
        <v>0.13264137270028284</v>
      </c>
      <c r="E32" s="78">
        <f>'Investment Ratios'!E17</f>
        <v>-0.16886740331491712</v>
      </c>
      <c r="F32" s="79">
        <f>'Investment Ratios'!F17</f>
        <v>0.1601588201928531</v>
      </c>
      <c r="G32" s="223">
        <f>'Investment Ratios'!G17</f>
        <v>-6.0854889487520693E-2</v>
      </c>
      <c r="H32" s="223">
        <f>'Investment Ratios'!H17</f>
        <v>-7.0478483298224495E-2</v>
      </c>
      <c r="I32" s="223">
        <f>'Investment Ratios'!I17</f>
        <v>2.1464716676861485E-2</v>
      </c>
      <c r="J32" s="223">
        <f>'Investment Ratios'!J17</f>
        <v>0.14455428860304442</v>
      </c>
      <c r="K32" s="81">
        <f>'Investment Ratios'!K17</f>
        <v>4.155959845136533E-2</v>
      </c>
      <c r="L32" s="82">
        <f>'Investment Ratios'!L17</f>
        <v>2.990249187432286E-2</v>
      </c>
      <c r="M32" s="82">
        <f>'Investment Ratios'!M17</f>
        <v>-0.11651265568501407</v>
      </c>
      <c r="N32" s="82">
        <f>'Investment Ratios'!N17</f>
        <v>-0.16953274274795901</v>
      </c>
      <c r="O32" s="82">
        <f>'Investment Ratios'!O17</f>
        <v>-0.37459991125686098</v>
      </c>
      <c r="P32" s="248">
        <f>'Investment Ratios'!P17</f>
        <v>-0.12188326436245302</v>
      </c>
    </row>
  </sheetData>
  <mergeCells count="5">
    <mergeCell ref="B1:F1"/>
    <mergeCell ref="G1:K1"/>
    <mergeCell ref="L1:P1"/>
    <mergeCell ref="A2:A3"/>
    <mergeCell ref="Q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D7C39-8E7F-2243-A62B-D102D8ADC672}">
  <dimension ref="A1:K20"/>
  <sheetViews>
    <sheetView workbookViewId="0">
      <pane xSplit="1" ySplit="3" topLeftCell="B4" activePane="bottomRight" state="frozen"/>
      <selection pane="topRight" activeCell="B1" sqref="B1"/>
      <selection pane="bottomLeft" activeCell="A4" sqref="A4"/>
      <selection pane="bottomRight" activeCell="B6" sqref="B6:E12"/>
    </sheetView>
  </sheetViews>
  <sheetFormatPr baseColWidth="10" defaultColWidth="12" defaultRowHeight="16"/>
  <cols>
    <col min="1" max="1" width="24.83203125" style="15" bestFit="1" customWidth="1"/>
    <col min="2" max="2" width="12" style="31"/>
    <col min="3" max="3" width="12" style="33"/>
    <col min="4" max="4" width="12" style="222"/>
    <col min="5" max="5" width="12" style="181"/>
    <col min="6" max="6" width="68.6640625" style="176" bestFit="1" customWidth="1"/>
    <col min="7" max="7" width="24.83203125" style="26" bestFit="1" customWidth="1"/>
    <col min="8" max="16384" width="12" style="26"/>
  </cols>
  <sheetData>
    <row r="1" spans="1:11">
      <c r="A1" s="412" t="s">
        <v>3</v>
      </c>
      <c r="B1" s="216" t="s">
        <v>0</v>
      </c>
      <c r="C1" s="213" t="s">
        <v>1</v>
      </c>
      <c r="D1" s="217" t="s">
        <v>2</v>
      </c>
      <c r="E1" s="411" t="s">
        <v>118</v>
      </c>
      <c r="F1" s="177" t="s">
        <v>139</v>
      </c>
      <c r="G1" s="414" t="s">
        <v>3</v>
      </c>
      <c r="H1" s="235" t="s">
        <v>0</v>
      </c>
      <c r="I1" s="236" t="s">
        <v>1</v>
      </c>
      <c r="J1" s="237" t="s">
        <v>2</v>
      </c>
      <c r="K1" s="411" t="s">
        <v>118</v>
      </c>
    </row>
    <row r="2" spans="1:11">
      <c r="A2" s="412"/>
      <c r="B2" s="4">
        <v>2020</v>
      </c>
      <c r="C2" s="214">
        <v>2020</v>
      </c>
      <c r="D2" s="218">
        <v>2020</v>
      </c>
      <c r="E2" s="411"/>
      <c r="G2" s="415"/>
      <c r="H2" s="4">
        <v>2020</v>
      </c>
      <c r="I2" s="214">
        <v>2020</v>
      </c>
      <c r="J2" s="218">
        <v>2020</v>
      </c>
      <c r="K2" s="411"/>
    </row>
    <row r="3" spans="1:11">
      <c r="A3" s="412"/>
      <c r="B3" s="9" t="s">
        <v>4</v>
      </c>
      <c r="C3" s="215" t="s">
        <v>4</v>
      </c>
      <c r="D3" s="219" t="s">
        <v>4</v>
      </c>
      <c r="E3" s="411"/>
      <c r="G3" s="416"/>
      <c r="H3" s="245" t="s">
        <v>4</v>
      </c>
      <c r="I3" s="246" t="s">
        <v>4</v>
      </c>
      <c r="J3" s="247" t="s">
        <v>4</v>
      </c>
      <c r="K3" s="411"/>
    </row>
    <row r="4" spans="1:11" s="53" customFormat="1" ht="16" customHeight="1">
      <c r="A4" s="27" t="s">
        <v>115</v>
      </c>
      <c r="B4" s="145">
        <f>'Investment Ratios'!B9</f>
        <v>9.6117944613414448</v>
      </c>
      <c r="C4" s="150">
        <f>'Investment Ratios'!G9</f>
        <v>-27.304667709147768</v>
      </c>
      <c r="D4" s="220">
        <f>'Investment Ratios'!L9</f>
        <v>1107.5950869565215</v>
      </c>
      <c r="E4" s="180">
        <f>SUM(B4:D4)/3</f>
        <v>363.30073790290504</v>
      </c>
      <c r="F4" s="177"/>
      <c r="G4" s="241" t="s">
        <v>119</v>
      </c>
      <c r="H4" s="216">
        <v>261.56</v>
      </c>
      <c r="I4" s="227">
        <v>261.56</v>
      </c>
      <c r="J4" s="231">
        <v>261.56</v>
      </c>
    </row>
    <row r="5" spans="1:11">
      <c r="G5" s="242" t="s">
        <v>120</v>
      </c>
      <c r="H5" s="225">
        <v>4.3321775312066571</v>
      </c>
      <c r="I5" s="228">
        <v>-0.32192298011578152</v>
      </c>
      <c r="J5" s="232">
        <v>0.63711911357340723</v>
      </c>
    </row>
    <row r="6" spans="1:11" ht="16" customHeight="1">
      <c r="A6" s="1"/>
      <c r="B6" s="413" t="s">
        <v>124</v>
      </c>
      <c r="C6" s="413"/>
      <c r="D6" s="413"/>
      <c r="E6" s="413"/>
      <c r="F6" s="178"/>
      <c r="G6" s="242" t="s">
        <v>121</v>
      </c>
      <c r="H6" s="226">
        <v>1133.1243550624133</v>
      </c>
      <c r="I6" s="229">
        <v>-84.202174679083811</v>
      </c>
      <c r="J6" s="233">
        <v>166.64487534626039</v>
      </c>
      <c r="K6" s="92"/>
    </row>
    <row r="7" spans="1:11">
      <c r="A7" s="1"/>
      <c r="B7" s="413"/>
      <c r="C7" s="413"/>
      <c r="D7" s="413"/>
      <c r="E7" s="413"/>
      <c r="F7" s="178"/>
      <c r="G7" s="243" t="s">
        <v>114</v>
      </c>
      <c r="H7" s="31">
        <v>41.64</v>
      </c>
      <c r="I7" s="230">
        <v>8.7899999999999991</v>
      </c>
      <c r="J7" s="234">
        <v>705.67</v>
      </c>
      <c r="K7" s="92"/>
    </row>
    <row r="8" spans="1:11">
      <c r="A8" s="1"/>
      <c r="B8" s="413"/>
      <c r="C8" s="413"/>
      <c r="D8" s="413"/>
      <c r="E8" s="413"/>
      <c r="F8" s="178"/>
      <c r="G8" s="244" t="s">
        <v>123</v>
      </c>
      <c r="H8" s="238" t="s">
        <v>162</v>
      </c>
      <c r="I8" s="239" t="s">
        <v>163</v>
      </c>
      <c r="J8" s="240" t="s">
        <v>163</v>
      </c>
      <c r="K8" s="92"/>
    </row>
    <row r="9" spans="1:11">
      <c r="B9" s="413"/>
      <c r="C9" s="413"/>
      <c r="D9" s="413"/>
      <c r="E9" s="413"/>
    </row>
    <row r="10" spans="1:11">
      <c r="B10" s="413"/>
      <c r="C10" s="413"/>
      <c r="D10" s="413"/>
      <c r="E10" s="413"/>
    </row>
    <row r="11" spans="1:11">
      <c r="B11" s="413"/>
      <c r="C11" s="413"/>
      <c r="D11" s="413"/>
      <c r="E11" s="413"/>
    </row>
    <row r="12" spans="1:11">
      <c r="B12" s="413"/>
      <c r="C12" s="413"/>
      <c r="D12" s="413"/>
      <c r="E12" s="413"/>
    </row>
    <row r="14" spans="1:11" s="53" customFormat="1">
      <c r="A14" s="27" t="s">
        <v>119</v>
      </c>
      <c r="B14" s="216">
        <v>261.56</v>
      </c>
      <c r="C14" s="213">
        <v>261.56</v>
      </c>
      <c r="D14" s="217">
        <v>261.56</v>
      </c>
      <c r="E14" s="180">
        <f>SUM(B14:D14)/3</f>
        <v>261.56</v>
      </c>
      <c r="F14" s="179" t="s">
        <v>122</v>
      </c>
    </row>
    <row r="16" spans="1:11">
      <c r="A16" s="15" t="s">
        <v>120</v>
      </c>
      <c r="B16" s="108">
        <f>IS!B29</f>
        <v>4.3321775312066571</v>
      </c>
      <c r="C16" s="111">
        <f>IS!G29</f>
        <v>-0.32192298011578152</v>
      </c>
      <c r="D16" s="221">
        <f>IS!L29</f>
        <v>0.63711911357340723</v>
      </c>
    </row>
    <row r="18" spans="1:6">
      <c r="A18" s="15" t="s">
        <v>121</v>
      </c>
      <c r="B18" s="108">
        <f>B16*B14</f>
        <v>1133.1243550624133</v>
      </c>
      <c r="C18" s="111">
        <f t="shared" ref="C18:D18" si="0">C16*C14</f>
        <v>-84.202174679083811</v>
      </c>
      <c r="D18" s="221">
        <f t="shared" si="0"/>
        <v>166.64487534626039</v>
      </c>
    </row>
    <row r="19" spans="1:6">
      <c r="A19" s="15" t="s">
        <v>114</v>
      </c>
      <c r="B19" s="31">
        <f>'Investment Ratios'!B8</f>
        <v>41.64</v>
      </c>
      <c r="C19" s="33">
        <f>'Investment Ratios'!G8</f>
        <v>8.7899999999999991</v>
      </c>
      <c r="D19" s="222">
        <f>'Investment Ratios'!L8</f>
        <v>705.67</v>
      </c>
    </row>
    <row r="20" spans="1:6" s="53" customFormat="1">
      <c r="A20" s="27" t="s">
        <v>123</v>
      </c>
      <c r="B20" s="216" t="str">
        <f>IF(B18&gt;B19,"Underpriced","Overpriced")</f>
        <v>Underpriced</v>
      </c>
      <c r="C20" s="213" t="str">
        <f t="shared" ref="C20:D20" si="1">IF(C18&gt;C19,"Underpriced","Overpriced")</f>
        <v>Overpriced</v>
      </c>
      <c r="D20" s="217" t="str">
        <f t="shared" si="1"/>
        <v>Overpriced</v>
      </c>
      <c r="E20" s="182"/>
      <c r="F20" s="177"/>
    </row>
  </sheetData>
  <mergeCells count="5">
    <mergeCell ref="K1:K3"/>
    <mergeCell ref="A1:A3"/>
    <mergeCell ref="E1:E3"/>
    <mergeCell ref="B6:E12"/>
    <mergeCell ref="G1:G3"/>
  </mergeCells>
  <hyperlinks>
    <hyperlink ref="F14" r:id="rId1" xr:uid="{4BA6DCB4-4005-D840-A3EA-9BB33C1DD5C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1F03-084C-6D4C-BB85-EE8A167FE6DB}">
  <dimension ref="A1:P22"/>
  <sheetViews>
    <sheetView workbookViewId="0">
      <pane xSplit="1" ySplit="3" topLeftCell="B4" activePane="bottomRight" state="frozen"/>
      <selection pane="topRight" activeCell="B1" sqref="B1"/>
      <selection pane="bottomLeft" activeCell="A4" sqref="A4"/>
      <selection pane="bottomRight" activeCell="S22" sqref="S22"/>
    </sheetView>
  </sheetViews>
  <sheetFormatPr baseColWidth="10" defaultColWidth="10.83203125" defaultRowHeight="16"/>
  <cols>
    <col min="1" max="1" width="13" style="201" bestFit="1" customWidth="1"/>
    <col min="2" max="5" width="6" style="203" bestFit="1" customWidth="1"/>
    <col min="6" max="6" width="6" style="204" bestFit="1" customWidth="1"/>
    <col min="7" max="10" width="7" style="205" bestFit="1" customWidth="1"/>
    <col min="11" max="11" width="7" style="206" bestFit="1" customWidth="1"/>
    <col min="12" max="16" width="6" style="207" bestFit="1" customWidth="1"/>
    <col min="17" max="16384" width="10.83203125" style="195"/>
  </cols>
  <sheetData>
    <row r="1" spans="1:16" s="184" customFormat="1">
      <c r="A1" s="183"/>
      <c r="B1" s="417" t="s">
        <v>0</v>
      </c>
      <c r="C1" s="417"/>
      <c r="D1" s="417"/>
      <c r="E1" s="417"/>
      <c r="F1" s="418"/>
      <c r="G1" s="419" t="s">
        <v>1</v>
      </c>
      <c r="H1" s="420"/>
      <c r="I1" s="420"/>
      <c r="J1" s="420"/>
      <c r="K1" s="421"/>
      <c r="L1" s="422" t="s">
        <v>2</v>
      </c>
      <c r="M1" s="422"/>
      <c r="N1" s="422"/>
      <c r="O1" s="422"/>
      <c r="P1" s="422"/>
    </row>
    <row r="2" spans="1:16" s="184" customFormat="1">
      <c r="A2" s="423" t="s">
        <v>3</v>
      </c>
      <c r="B2" s="185">
        <v>2020</v>
      </c>
      <c r="C2" s="185">
        <v>2019</v>
      </c>
      <c r="D2" s="185">
        <v>2018</v>
      </c>
      <c r="E2" s="185">
        <v>2017</v>
      </c>
      <c r="F2" s="186">
        <v>2016</v>
      </c>
      <c r="G2" s="187">
        <v>2020</v>
      </c>
      <c r="H2" s="187">
        <v>2019</v>
      </c>
      <c r="I2" s="187">
        <v>2018</v>
      </c>
      <c r="J2" s="187">
        <v>2017</v>
      </c>
      <c r="K2" s="188">
        <v>2016</v>
      </c>
      <c r="L2" s="189">
        <v>2020</v>
      </c>
      <c r="M2" s="189">
        <v>2019</v>
      </c>
      <c r="N2" s="189">
        <v>2018</v>
      </c>
      <c r="O2" s="189">
        <v>2017</v>
      </c>
      <c r="P2" s="189">
        <v>2016</v>
      </c>
    </row>
    <row r="3" spans="1:16" s="184" customFormat="1">
      <c r="A3" s="423"/>
      <c r="B3" s="190" t="s">
        <v>4</v>
      </c>
      <c r="C3" s="190" t="s">
        <v>4</v>
      </c>
      <c r="D3" s="190" t="s">
        <v>4</v>
      </c>
      <c r="E3" s="190" t="s">
        <v>4</v>
      </c>
      <c r="F3" s="191" t="s">
        <v>4</v>
      </c>
      <c r="G3" s="192" t="s">
        <v>4</v>
      </c>
      <c r="H3" s="192" t="s">
        <v>4</v>
      </c>
      <c r="I3" s="192" t="s">
        <v>4</v>
      </c>
      <c r="J3" s="192" t="s">
        <v>4</v>
      </c>
      <c r="K3" s="193" t="s">
        <v>4</v>
      </c>
      <c r="L3" s="194" t="s">
        <v>4</v>
      </c>
      <c r="M3" s="194" t="s">
        <v>4</v>
      </c>
      <c r="N3" s="194" t="s">
        <v>4</v>
      </c>
      <c r="O3" s="194" t="s">
        <v>4</v>
      </c>
      <c r="P3" s="194" t="s">
        <v>4</v>
      </c>
    </row>
    <row r="4" spans="1:16">
      <c r="A4" s="201" t="s">
        <v>155</v>
      </c>
      <c r="B4" s="260">
        <f>('Ratios - Summary'!B11)/BS!B17</f>
        <v>4.3113344728181839E-3</v>
      </c>
      <c r="C4" s="260">
        <f>('Ratios - Summary'!C11)/BS!C17</f>
        <v>-4.3471015668509937E-2</v>
      </c>
      <c r="D4" s="260">
        <f>('Ratios - Summary'!D11)/BS!D17</f>
        <v>-3.0544693167472364E-2</v>
      </c>
      <c r="E4" s="260">
        <f>('Ratios - Summary'!E11)/BS!E17</f>
        <v>-3.8337365047392248E-2</v>
      </c>
      <c r="F4" s="260">
        <f>('Ratios - Summary'!F11)/BS!F17</f>
        <v>-4.0497992692498534E-2</v>
      </c>
      <c r="G4" s="264">
        <f>(BS!G10-BS!G21)/BS!G17</f>
        <v>7.3156951444468141E-2</v>
      </c>
      <c r="H4" s="264">
        <f>(BS!H10-BS!H21)/BS!H17</f>
        <v>6.1557920142958258E-2</v>
      </c>
      <c r="I4" s="264">
        <f>(BS!I10-BS!I21)/BS!I17</f>
        <v>7.4374366570515313E-2</v>
      </c>
      <c r="J4" s="264">
        <f>(BS!J10-BS!J21)/BS!J17</f>
        <v>8.5885274820500124E-2</v>
      </c>
      <c r="K4" s="265">
        <f>(BS!K10-BS!K21)/BS!K17</f>
        <v>7.6402284503952492E-2</v>
      </c>
      <c r="L4" s="266">
        <f>(BS!L10-BS!L21)/BS!L17</f>
        <v>0.23910792360205568</v>
      </c>
      <c r="M4" s="266">
        <f>(BS!M10-BS!M21)/BS!M17</f>
        <v>4.1854906875746889E-2</v>
      </c>
      <c r="N4" s="266">
        <f>(BS!N10-BS!N21)/BS!N17</f>
        <v>-5.6691324815063886E-2</v>
      </c>
      <c r="O4" s="266">
        <f>(BS!O10-BS!O21)/BS!O17</f>
        <v>-3.8532044779041437E-2</v>
      </c>
      <c r="P4" s="266">
        <f>(BS!P10-BS!P21)/BS!P17</f>
        <v>1.9095903137635092E-2</v>
      </c>
    </row>
    <row r="5" spans="1:16">
      <c r="A5" s="201" t="s">
        <v>156</v>
      </c>
      <c r="B5" s="260">
        <f>BS!B29/BS!B17</f>
        <v>0.13589632388581341</v>
      </c>
      <c r="C5" s="260">
        <f>BS!C29/BS!C17</f>
        <v>0.11778790284032854</v>
      </c>
      <c r="D5" s="260">
        <f>BS!D29/BS!D17</f>
        <v>9.8188168330114942E-2</v>
      </c>
      <c r="E5" s="260">
        <f>BS!E29/BS!E17</f>
        <v>8.2957615233290344E-2</v>
      </c>
      <c r="F5" s="261">
        <f>BS!F29/BS!F17</f>
        <v>0.11803870269294961</v>
      </c>
      <c r="G5" s="264">
        <f>BS!G29/BS!G17</f>
        <v>6.8259117491889953E-2</v>
      </c>
      <c r="H5" s="264">
        <f>BS!H29/BS!H17</f>
        <v>7.8596100364744695E-2</v>
      </c>
      <c r="I5" s="264">
        <f>BS!I29/BS!I17</f>
        <v>8.836048959226632E-2</v>
      </c>
      <c r="J5" s="264">
        <f>BS!J29/BS!J17</f>
        <v>8.4744057935132455E-2</v>
      </c>
      <c r="K5" s="265">
        <f>BS!K29/BS!K17</f>
        <v>6.5702602636677293E-2</v>
      </c>
      <c r="L5" s="266">
        <f>BS!L29/BS!L17</f>
        <v>-0.10353225435299532</v>
      </c>
      <c r="M5" s="266">
        <f>BS!M29/BS!M17</f>
        <v>-0.17730041680025649</v>
      </c>
      <c r="N5" s="266">
        <f>BS!N29/BS!N17</f>
        <v>-0.17881640887693342</v>
      </c>
      <c r="O5" s="266">
        <f>BS!O29/BS!O17</f>
        <v>-0.17359046489366567</v>
      </c>
      <c r="P5" s="266">
        <f>BS!P29/BS!P17</f>
        <v>-0.13224615907571083</v>
      </c>
    </row>
    <row r="6" spans="1:16">
      <c r="A6" s="201" t="s">
        <v>157</v>
      </c>
      <c r="B6" s="260">
        <f>IS!B12/BS!B17</f>
        <v>2.8206501866544213E-2</v>
      </c>
      <c r="C6" s="260">
        <f>IS!C12/BS!C17</f>
        <v>2.4035573174528695E-2</v>
      </c>
      <c r="D6" s="260">
        <f>IS!D12/BS!D17</f>
        <v>1.9552298549742896E-2</v>
      </c>
      <c r="E6" s="260">
        <f>IS!E12/BS!E17</f>
        <v>4.0761099763744695E-2</v>
      </c>
      <c r="F6" s="261">
        <f>IS!F12/BS!F17</f>
        <v>3.9180838107266906E-2</v>
      </c>
      <c r="G6" s="264">
        <f>IS!G12/BS!G17</f>
        <v>-1.6493240689812581E-2</v>
      </c>
      <c r="H6" s="264">
        <f>IS!H12/BS!H17</f>
        <v>2.2201851185710362E-3</v>
      </c>
      <c r="I6" s="264">
        <f>IS!I12/BS!I17</f>
        <v>1.2485382396507367E-2</v>
      </c>
      <c r="J6" s="264">
        <f>IS!J12/BS!J17</f>
        <v>1.8882303788066351E-2</v>
      </c>
      <c r="K6" s="265">
        <f>IS!K12/BS!K17</f>
        <v>2.4315930590751877E-2</v>
      </c>
      <c r="L6" s="266">
        <f>IS!L12/BS!L17</f>
        <v>3.8237324537853799E-2</v>
      </c>
      <c r="M6" s="266">
        <f>IS!M12/BS!M17</f>
        <v>-2.0111341047538548E-3</v>
      </c>
      <c r="N6" s="266">
        <f>IS!N12/BS!N17</f>
        <v>-1.304640215198386E-2</v>
      </c>
      <c r="O6" s="266">
        <f>IS!O12/BS!O17</f>
        <v>-5.6952675885881078E-2</v>
      </c>
      <c r="P6" s="266">
        <f>IS!P12/BS!P17</f>
        <v>-2.9444835959780601E-2</v>
      </c>
    </row>
    <row r="7" spans="1:16">
      <c r="A7" s="201" t="s">
        <v>158</v>
      </c>
      <c r="B7" s="260">
        <f>BS!B32/BS!B26</f>
        <v>0.26777599896505444</v>
      </c>
      <c r="C7" s="260">
        <f>BS!C32/BS!C26</f>
        <v>0.2524000439367311</v>
      </c>
      <c r="D7" s="260">
        <f>BS!D32/BS!D26</f>
        <v>0.2317757718273534</v>
      </c>
      <c r="E7" s="260">
        <f>BS!E32/BS!E26</f>
        <v>0.20535278701171986</v>
      </c>
      <c r="F7" s="261">
        <f>BS!F32/BS!F26</f>
        <v>0.24814908650733328</v>
      </c>
      <c r="G7" s="264">
        <f>BS!G32/BS!G26</f>
        <v>0.13030661873546204</v>
      </c>
      <c r="H7" s="264">
        <f>BS!H32/BS!H26</f>
        <v>0.1474876501839712</v>
      </c>
      <c r="I7" s="264">
        <f>BS!I32/BS!I26</f>
        <v>0.16305638923898555</v>
      </c>
      <c r="J7" s="264">
        <f>BS!J32/BS!J26</f>
        <v>0.15974696038404596</v>
      </c>
      <c r="K7" s="265">
        <f>BS!K32/BS!K26</f>
        <v>0.13980858768753232</v>
      </c>
      <c r="L7" s="266">
        <f>BS!L32/BS!L26</f>
        <v>0.79369174147834765</v>
      </c>
      <c r="M7" s="266">
        <f>BS!M32/BS!M26</f>
        <v>0.27818344385664256</v>
      </c>
      <c r="N7" s="266">
        <f>BS!N32/BS!N26</f>
        <v>0.24004503189759413</v>
      </c>
      <c r="O7" s="266">
        <f>BS!O32/BS!O26</f>
        <v>0.22362986047866018</v>
      </c>
      <c r="P7" s="266">
        <f>BS!P32/BS!P26</f>
        <v>0.32337328334691406</v>
      </c>
    </row>
    <row r="8" spans="1:16">
      <c r="A8" s="201" t="s">
        <v>159</v>
      </c>
      <c r="B8" s="260">
        <f>IS!B4/BS!B17</f>
        <v>0.52078284309973899</v>
      </c>
      <c r="C8" s="260">
        <f>IS!C4/BS!C17</f>
        <v>0.60181900305652158</v>
      </c>
      <c r="D8" s="260">
        <f>IS!D4/BS!D17</f>
        <v>0.64682698525110083</v>
      </c>
      <c r="E8" s="260">
        <f>IS!E4/BS!E17</f>
        <v>0.68517803861032933</v>
      </c>
      <c r="F8" s="261">
        <f>IS!F4/BS!F17</f>
        <v>0.67293969055888858</v>
      </c>
      <c r="G8" s="264">
        <f>IS!G4/BS!G17</f>
        <v>0.47572971739236175</v>
      </c>
      <c r="H8" s="264">
        <f>IS!H4/BS!H17</f>
        <v>0.60300846687321352</v>
      </c>
      <c r="I8" s="264">
        <f>IS!I4/BS!I17</f>
        <v>0.62500194901379902</v>
      </c>
      <c r="J8" s="264">
        <f>IS!J4/BS!J17</f>
        <v>0.60649294379796981</v>
      </c>
      <c r="K8" s="265">
        <f>IS!K4/BS!K17</f>
        <v>0.63794646797029642</v>
      </c>
      <c r="L8" s="266">
        <f>IS!L4/BS!L17</f>
        <v>0.60474035437600671</v>
      </c>
      <c r="M8" s="266">
        <f>IS!M4/BS!M17</f>
        <v>0.71637179748753976</v>
      </c>
      <c r="N8" s="266">
        <f>IS!N4/BS!N17</f>
        <v>0.72162071284465368</v>
      </c>
      <c r="O8" s="266">
        <f>IS!O4/BS!O17</f>
        <v>0.41035938464587968</v>
      </c>
      <c r="P8" s="266">
        <f>IS!P4/BS!P17</f>
        <v>0.30886465435431826</v>
      </c>
    </row>
    <row r="9" spans="1:16">
      <c r="B9" s="260"/>
      <c r="C9" s="260"/>
      <c r="D9" s="260"/>
      <c r="E9" s="260"/>
      <c r="F9" s="261"/>
      <c r="G9" s="264"/>
      <c r="H9" s="264"/>
      <c r="I9" s="264"/>
      <c r="J9" s="264"/>
      <c r="K9" s="265"/>
      <c r="L9" s="266"/>
      <c r="M9" s="266"/>
      <c r="N9" s="266"/>
      <c r="O9" s="266"/>
      <c r="P9" s="266"/>
    </row>
    <row r="10" spans="1:16" s="197" customFormat="1">
      <c r="A10" s="202" t="s">
        <v>140</v>
      </c>
      <c r="B10" s="262">
        <f>(0.717*B4)+(0.847*B5)+(3.107*B6)+(0.42*B7)+(0.998*B8)</f>
        <v>0.83804021142650975</v>
      </c>
      <c r="C10" s="262">
        <f t="shared" ref="C10:P10" si="0">(0.717*C4)+(0.847*C5)+(3.107*C6)+(0.42*C7)+(0.998*C8)</f>
        <v>0.84989954482853292</v>
      </c>
      <c r="D10" s="262">
        <f t="shared" si="0"/>
        <v>0.86489298061666786</v>
      </c>
      <c r="E10" s="262">
        <f t="shared" si="0"/>
        <v>0.93947779940760245</v>
      </c>
      <c r="F10" s="263">
        <f t="shared" si="0"/>
        <v>0.96849301193053594</v>
      </c>
      <c r="G10" s="267">
        <f t="shared" si="0"/>
        <v>0.58853154570453781</v>
      </c>
      <c r="H10" s="267">
        <f t="shared" si="0"/>
        <v>0.78135330393157498</v>
      </c>
      <c r="I10" s="267">
        <f t="shared" si="0"/>
        <v>0.85919546721780271</v>
      </c>
      <c r="J10" s="267">
        <f t="shared" si="0"/>
        <v>0.86439895825855118</v>
      </c>
      <c r="K10" s="268">
        <f t="shared" si="0"/>
        <v>0.88137032063118514</v>
      </c>
      <c r="L10" s="269">
        <f t="shared" si="0"/>
        <v>1.1394333342129592</v>
      </c>
      <c r="M10" s="269">
        <f t="shared" si="0"/>
        <v>0.70536402184897762</v>
      </c>
      <c r="N10" s="269">
        <f t="shared" si="0"/>
        <v>0.58835603511857659</v>
      </c>
      <c r="O10" s="269">
        <f t="shared" si="0"/>
        <v>0.15185264342868515</v>
      </c>
      <c r="P10" s="269">
        <f t="shared" si="0"/>
        <v>0.25425786453683252</v>
      </c>
    </row>
    <row r="16" spans="1:16">
      <c r="B16" s="417"/>
      <c r="C16" s="417"/>
      <c r="D16" s="417"/>
      <c r="E16" s="417"/>
      <c r="F16" s="418"/>
      <c r="G16" s="419"/>
      <c r="H16" s="420"/>
      <c r="I16" s="420"/>
      <c r="J16" s="420"/>
      <c r="K16" s="421"/>
      <c r="L16" s="422"/>
      <c r="M16" s="422"/>
      <c r="N16" s="422"/>
      <c r="O16" s="422"/>
      <c r="P16" s="422"/>
    </row>
    <row r="17" spans="1:16">
      <c r="B17" s="185"/>
      <c r="C17" s="185"/>
      <c r="D17" s="185"/>
      <c r="E17" s="185"/>
      <c r="F17" s="186"/>
      <c r="G17" s="187"/>
      <c r="H17" s="187"/>
      <c r="I17" s="187"/>
      <c r="J17" s="187"/>
      <c r="K17" s="188"/>
      <c r="L17" s="189"/>
      <c r="M17" s="189"/>
      <c r="N17" s="189"/>
      <c r="O17" s="189"/>
      <c r="P17" s="189"/>
    </row>
    <row r="20" spans="1:16">
      <c r="B20" s="417" t="s">
        <v>0</v>
      </c>
      <c r="C20" s="417"/>
      <c r="D20" s="417"/>
      <c r="E20" s="417"/>
      <c r="F20" s="418"/>
      <c r="G20" s="419" t="s">
        <v>1</v>
      </c>
      <c r="H20" s="420"/>
      <c r="I20" s="420"/>
      <c r="J20" s="420"/>
      <c r="K20" s="421"/>
      <c r="L20" s="422" t="s">
        <v>2</v>
      </c>
      <c r="M20" s="422"/>
      <c r="N20" s="422"/>
      <c r="O20" s="422"/>
      <c r="P20" s="422"/>
    </row>
    <row r="21" spans="1:16">
      <c r="B21" s="185">
        <v>2016</v>
      </c>
      <c r="C21" s="185">
        <v>2017</v>
      </c>
      <c r="D21" s="185">
        <v>2018</v>
      </c>
      <c r="E21" s="185">
        <v>2019</v>
      </c>
      <c r="F21" s="186">
        <v>2020</v>
      </c>
      <c r="G21" s="187">
        <v>2020</v>
      </c>
      <c r="H21" s="187">
        <v>2019</v>
      </c>
      <c r="I21" s="187">
        <v>2018</v>
      </c>
      <c r="J21" s="187">
        <v>2017</v>
      </c>
      <c r="K21" s="188">
        <v>2016</v>
      </c>
      <c r="L21" s="189">
        <v>2020</v>
      </c>
      <c r="M21" s="189">
        <v>2019</v>
      </c>
      <c r="N21" s="189">
        <v>2018</v>
      </c>
      <c r="O21" s="189">
        <v>2017</v>
      </c>
      <c r="P21" s="189">
        <v>2016</v>
      </c>
    </row>
    <row r="22" spans="1:16">
      <c r="A22" s="202" t="s">
        <v>140</v>
      </c>
      <c r="B22" s="270">
        <v>0.96849301193053594</v>
      </c>
      <c r="C22" s="262">
        <v>0.93947779940760245</v>
      </c>
      <c r="D22" s="262">
        <v>0.86489298061666786</v>
      </c>
      <c r="E22" s="262">
        <v>0.84989954482853292</v>
      </c>
      <c r="F22" s="263">
        <v>0.83804021142650975</v>
      </c>
      <c r="G22" s="267">
        <v>0.58853154570453781</v>
      </c>
      <c r="H22" s="267">
        <v>0.78135330393157498</v>
      </c>
      <c r="I22" s="267">
        <v>0.85919546721780271</v>
      </c>
      <c r="J22" s="267">
        <v>0.86439895825855118</v>
      </c>
      <c r="K22" s="268">
        <v>0.88137032063118514</v>
      </c>
      <c r="L22" s="269">
        <v>1.1394333342129592</v>
      </c>
      <c r="M22" s="269">
        <v>0.70536402184897762</v>
      </c>
      <c r="N22" s="269">
        <v>0.58835603511857659</v>
      </c>
      <c r="O22" s="269">
        <v>0.15185264342868515</v>
      </c>
      <c r="P22" s="269">
        <v>0.25425786453683252</v>
      </c>
    </row>
  </sheetData>
  <mergeCells count="10">
    <mergeCell ref="A2:A3"/>
    <mergeCell ref="B16:F16"/>
    <mergeCell ref="G16:K16"/>
    <mergeCell ref="L16:P16"/>
    <mergeCell ref="B20:F20"/>
    <mergeCell ref="G20:K20"/>
    <mergeCell ref="L20:P20"/>
    <mergeCell ref="B1:F1"/>
    <mergeCell ref="G1:K1"/>
    <mergeCell ref="L1:P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9586D-CDEC-344D-984F-0ED11B9C6F52}">
  <dimension ref="A1:G17"/>
  <sheetViews>
    <sheetView workbookViewId="0">
      <pane xSplit="1" ySplit="3" topLeftCell="B4" activePane="bottomRight" state="frozen"/>
      <selection pane="topRight" activeCell="B1" sqref="B1"/>
      <selection pane="bottomLeft" activeCell="A4" sqref="A4"/>
      <selection pane="bottomRight" activeCell="I24" sqref="I24"/>
    </sheetView>
  </sheetViews>
  <sheetFormatPr baseColWidth="10" defaultColWidth="11.1640625" defaultRowHeight="16"/>
  <cols>
    <col min="1" max="1" width="33.5" style="364" bestFit="1" customWidth="1"/>
    <col min="2" max="2" width="10.83203125" style="369"/>
    <col min="3" max="3" width="10.83203125" style="210"/>
    <col min="4" max="4" width="10.83203125" style="374"/>
    <col min="5" max="5" width="10.83203125" style="211"/>
    <col min="6" max="6" width="10.83203125" style="380"/>
    <col min="7" max="7" width="10.83203125" style="212"/>
  </cols>
  <sheetData>
    <row r="1" spans="1:7" s="184" customFormat="1">
      <c r="A1" s="360"/>
      <c r="B1" s="424" t="s">
        <v>0</v>
      </c>
      <c r="C1" s="425"/>
      <c r="D1" s="419" t="s">
        <v>1</v>
      </c>
      <c r="E1" s="420"/>
      <c r="F1" s="422" t="s">
        <v>2</v>
      </c>
      <c r="G1" s="422"/>
    </row>
    <row r="2" spans="1:7" s="388" customFormat="1">
      <c r="A2" s="426" t="s">
        <v>3</v>
      </c>
      <c r="B2" s="382">
        <v>2020</v>
      </c>
      <c r="C2" s="383" t="s">
        <v>154</v>
      </c>
      <c r="D2" s="384">
        <v>2020</v>
      </c>
      <c r="E2" s="385" t="s">
        <v>154</v>
      </c>
      <c r="F2" s="386">
        <v>2020</v>
      </c>
      <c r="G2" s="387" t="s">
        <v>154</v>
      </c>
    </row>
    <row r="3" spans="1:7" s="184" customFormat="1">
      <c r="A3" s="426"/>
      <c r="B3" s="365" t="s">
        <v>4</v>
      </c>
      <c r="C3" s="199"/>
      <c r="D3" s="370" t="s">
        <v>4</v>
      </c>
      <c r="E3" s="193"/>
      <c r="F3" s="376" t="s">
        <v>4</v>
      </c>
      <c r="G3" s="200"/>
    </row>
    <row r="4" spans="1:7" s="359" customFormat="1">
      <c r="A4" s="361" t="s">
        <v>145</v>
      </c>
      <c r="B4" s="366"/>
      <c r="C4" s="356"/>
      <c r="D4" s="371"/>
      <c r="E4" s="357"/>
      <c r="F4" s="377"/>
      <c r="G4" s="358"/>
    </row>
    <row r="5" spans="1:7">
      <c r="A5" s="362" t="s">
        <v>141</v>
      </c>
      <c r="B5" s="367">
        <f>'Ratios - Summary'!B8</f>
        <v>2.6561051727510054E-2</v>
      </c>
      <c r="C5" s="210">
        <v>1</v>
      </c>
      <c r="D5" s="372">
        <f>'Ratios - Summary'!G8</f>
        <v>-4.7855841293716625E-3</v>
      </c>
      <c r="E5" s="211">
        <v>0</v>
      </c>
      <c r="F5" s="378">
        <f>'Ratios - Summary'!L8</f>
        <v>1.3231571680601366E-2</v>
      </c>
      <c r="G5" s="212">
        <v>1</v>
      </c>
    </row>
    <row r="6" spans="1:7">
      <c r="A6" s="362" t="s">
        <v>142</v>
      </c>
      <c r="B6" s="368">
        <f>CF!B13</f>
        <v>16670</v>
      </c>
      <c r="C6" s="210">
        <v>1</v>
      </c>
      <c r="D6" s="373">
        <f>CF!G13</f>
        <v>24269</v>
      </c>
      <c r="E6" s="211">
        <v>1</v>
      </c>
      <c r="F6" s="379">
        <f>CF!L13</f>
        <v>5943</v>
      </c>
      <c r="G6" s="212">
        <v>1</v>
      </c>
    </row>
    <row r="7" spans="1:7">
      <c r="A7" s="362" t="s">
        <v>143</v>
      </c>
      <c r="B7" s="367">
        <f>'Ratios - Summary'!B8-'Ratios - Summary'!C8</f>
        <v>-2.298300044351529E-3</v>
      </c>
      <c r="C7" s="210">
        <v>0</v>
      </c>
      <c r="D7" s="372">
        <f>'Ratios - Summary'!G8-'Ratios - Summary'!H8</f>
        <v>-4.9673762906483846E-3</v>
      </c>
      <c r="E7" s="211">
        <v>0</v>
      </c>
      <c r="F7" s="378">
        <f>'Ratios - Summary'!L8-'Ratios - Summary'!M8</f>
        <v>3.858934952314997E-2</v>
      </c>
      <c r="G7" s="212">
        <v>1</v>
      </c>
    </row>
    <row r="8" spans="1:7">
      <c r="A8" s="362" t="s">
        <v>144</v>
      </c>
      <c r="B8" s="368">
        <f>(B6/BS!B17)-B5</f>
        <v>4.4316606716157725E-2</v>
      </c>
      <c r="C8" s="210">
        <v>1</v>
      </c>
      <c r="D8" s="373">
        <f>(D6/BS!G17)-D5</f>
        <v>9.5591949442679625E-2</v>
      </c>
      <c r="E8" s="211">
        <v>1</v>
      </c>
      <c r="F8" s="379">
        <f>(F6/BS!L17)-F5</f>
        <v>0.10073253049014344</v>
      </c>
      <c r="G8" s="212">
        <v>1</v>
      </c>
    </row>
    <row r="9" spans="1:7">
      <c r="A9" s="363" t="s">
        <v>146</v>
      </c>
    </row>
    <row r="10" spans="1:7">
      <c r="A10" s="362" t="s">
        <v>148</v>
      </c>
      <c r="B10" s="367">
        <f>'Ratios - Summary'!B20-'Ratios - Summary'!C20</f>
        <v>-0.2274998034400606</v>
      </c>
      <c r="C10" s="210">
        <v>0</v>
      </c>
      <c r="D10" s="372">
        <f>'Ratios - Summary'!G20-'Ratios - Summary'!H20</f>
        <v>0.89397855464171538</v>
      </c>
      <c r="E10" s="211">
        <v>0</v>
      </c>
      <c r="F10" s="378">
        <f>'Ratios - Summary'!L20-'Ratios - Summary'!M20</f>
        <v>-2.3348152397816557</v>
      </c>
      <c r="G10" s="212">
        <v>1</v>
      </c>
    </row>
    <row r="11" spans="1:7">
      <c r="A11" s="362" t="s">
        <v>147</v>
      </c>
      <c r="B11" s="368">
        <f>'Ratios - Summary'!B9-'Ratios - Summary'!C9</f>
        <v>0.12944329463279125</v>
      </c>
      <c r="C11" s="210">
        <v>1</v>
      </c>
      <c r="D11" s="373">
        <f>'Ratios - Summary'!G9-'Ratios - Summary'!H9</f>
        <v>3.8989307170447018E-2</v>
      </c>
      <c r="E11" s="211">
        <v>1</v>
      </c>
      <c r="F11" s="379">
        <f>'Ratios - Summary'!L9-'Ratios - Summary'!M9</f>
        <v>0.74051957747811104</v>
      </c>
      <c r="G11" s="212">
        <v>1</v>
      </c>
    </row>
    <row r="12" spans="1:7">
      <c r="A12" s="362" t="s">
        <v>149</v>
      </c>
      <c r="B12" s="368">
        <f>IS!B26-IS!C26</f>
        <v>9</v>
      </c>
      <c r="C12" s="210">
        <v>0</v>
      </c>
      <c r="D12" s="373">
        <f>IS!G26-IS!H26</f>
        <v>1</v>
      </c>
      <c r="E12" s="211">
        <v>0</v>
      </c>
      <c r="F12" s="379">
        <f>IS!L26-IS!M26</f>
        <v>46</v>
      </c>
      <c r="G12" s="212">
        <v>0</v>
      </c>
    </row>
    <row r="13" spans="1:7">
      <c r="A13" s="363" t="s">
        <v>150</v>
      </c>
    </row>
    <row r="14" spans="1:7">
      <c r="A14" s="362" t="s">
        <v>151</v>
      </c>
      <c r="B14" s="367">
        <f>'Ratios - Summary'!B5-'Ratios - Summary'!C5</f>
        <v>9.8125524058450819E-3</v>
      </c>
      <c r="C14" s="210">
        <v>1</v>
      </c>
      <c r="D14" s="372">
        <f>'Ratios - Summary'!G5-'Ratios - Summary'!H5</f>
        <v>-2.2835017954217315E-2</v>
      </c>
      <c r="E14" s="211">
        <v>0</v>
      </c>
      <c r="F14" s="378">
        <f>'Ratios - Summary'!L5-'Ratios - Summary'!M5</f>
        <v>4.4681359862856401E-2</v>
      </c>
      <c r="G14" s="212">
        <v>1</v>
      </c>
    </row>
    <row r="15" spans="1:7">
      <c r="A15" s="362" t="s">
        <v>152</v>
      </c>
      <c r="B15" s="368">
        <f>'Ratios - Summary'!B17-'Ratios - Summary'!C17</f>
        <v>-8.1036159956782594E-2</v>
      </c>
      <c r="C15" s="210">
        <v>0</v>
      </c>
      <c r="D15" s="373">
        <f>'Ratios - Summary'!G17-'Ratios - Summary'!H17</f>
        <v>-0.12727874948085177</v>
      </c>
      <c r="E15" s="211">
        <v>0</v>
      </c>
      <c r="F15" s="379">
        <f>'Ratios - Summary'!L17-'Ratios - Summary'!M17</f>
        <v>-0.11163144311153306</v>
      </c>
      <c r="G15" s="212">
        <v>0</v>
      </c>
    </row>
    <row r="16" spans="1:7">
      <c r="A16" s="362"/>
    </row>
    <row r="17" spans="1:7" s="355" customFormat="1">
      <c r="A17" s="350" t="s">
        <v>153</v>
      </c>
      <c r="B17" s="351"/>
      <c r="C17" s="352">
        <f>SUM(C4:C15)</f>
        <v>5</v>
      </c>
      <c r="D17" s="375"/>
      <c r="E17" s="353">
        <f>SUM(E4:E15)</f>
        <v>3</v>
      </c>
      <c r="F17" s="381"/>
      <c r="G17" s="354">
        <f>SUM(G4:G15)</f>
        <v>7</v>
      </c>
    </row>
  </sheetData>
  <mergeCells count="4">
    <mergeCell ref="B1:C1"/>
    <mergeCell ref="D1:E1"/>
    <mergeCell ref="F1:G1"/>
    <mergeCell ref="A2:A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ECA1-A09A-C141-86B1-37987C0B3FEA}">
  <dimension ref="A1:N40"/>
  <sheetViews>
    <sheetView zoomScale="86" zoomScaleNormal="86" workbookViewId="0">
      <selection activeCell="B16" sqref="B16"/>
    </sheetView>
  </sheetViews>
  <sheetFormatPr baseColWidth="10" defaultColWidth="10.83203125" defaultRowHeight="16"/>
  <cols>
    <col min="1" max="1" width="32.5" style="26" customWidth="1"/>
    <col min="2" max="2" width="14" style="26" bestFit="1" customWidth="1"/>
    <col min="3" max="4" width="11.5" style="26" bestFit="1" customWidth="1"/>
    <col min="5" max="5" width="11.33203125" style="26" customWidth="1"/>
    <col min="6" max="8" width="11.5" style="26" bestFit="1" customWidth="1"/>
    <col min="9" max="9" width="12.1640625" style="26" bestFit="1" customWidth="1"/>
    <col min="10" max="16384" width="10.83203125" style="26"/>
  </cols>
  <sheetData>
    <row r="1" spans="1:14">
      <c r="A1" s="328" t="s">
        <v>196</v>
      </c>
      <c r="B1" s="328">
        <v>2013</v>
      </c>
      <c r="C1" s="328">
        <v>2014</v>
      </c>
      <c r="D1" s="328">
        <v>2015</v>
      </c>
      <c r="E1" s="328">
        <v>2016</v>
      </c>
      <c r="F1" s="328">
        <f>2017</f>
        <v>2017</v>
      </c>
      <c r="G1" s="328">
        <v>2018</v>
      </c>
      <c r="H1" s="328">
        <v>2019</v>
      </c>
      <c r="I1" s="328">
        <v>2020</v>
      </c>
      <c r="J1" s="328">
        <v>2021</v>
      </c>
    </row>
    <row r="2" spans="1:14">
      <c r="A2" s="323" t="s">
        <v>195</v>
      </c>
      <c r="B2" s="327">
        <f>184.208107011949%/100</f>
        <v>1.84208107011949E-2</v>
      </c>
      <c r="C2" s="327">
        <f>252.597345040711%/100</f>
        <v>2.52597345040711E-2</v>
      </c>
      <c r="D2" s="327">
        <f>290.802186128343%/100</f>
        <v>2.9080218612834302E-2</v>
      </c>
      <c r="E2" s="327">
        <f>163.783845703892%/100</f>
        <v>1.63783845703892E-2</v>
      </c>
      <c r="F2" s="327">
        <f>236.980078440416%/100</f>
        <v>2.3698007844041601E-2</v>
      </c>
      <c r="G2" s="327">
        <f>292.732573232968%/100</f>
        <v>2.9273257323296796E-2</v>
      </c>
      <c r="H2" s="327">
        <f>216.117628829923%/100</f>
        <v>2.16117628829923E-2</v>
      </c>
      <c r="I2" s="327">
        <f>-351%/100</f>
        <v>-3.5099999999999999E-2</v>
      </c>
      <c r="J2" s="326">
        <f>639%/100</f>
        <v>6.3899999999999998E-2</v>
      </c>
    </row>
    <row r="3" spans="1:14">
      <c r="A3" s="323" t="s">
        <v>194</v>
      </c>
      <c r="B3" s="325">
        <v>155427</v>
      </c>
      <c r="C3" s="325">
        <v>155929</v>
      </c>
      <c r="D3" s="325">
        <v>135725</v>
      </c>
      <c r="E3" s="325">
        <v>149184</v>
      </c>
      <c r="F3" s="325">
        <v>145588</v>
      </c>
      <c r="G3" s="325">
        <v>147049</v>
      </c>
      <c r="H3" s="325">
        <v>137237</v>
      </c>
      <c r="I3" s="325">
        <v>122485</v>
      </c>
      <c r="J3" s="323"/>
    </row>
    <row r="4" spans="1:14">
      <c r="A4" s="323" t="s">
        <v>186</v>
      </c>
      <c r="B4" s="323"/>
      <c r="C4" s="324">
        <f t="shared" ref="C4:I4" si="0">(C3-B3)/B3</f>
        <v>3.2298120661146388E-3</v>
      </c>
      <c r="D4" s="324">
        <f t="shared" si="0"/>
        <v>-0.12957179229008073</v>
      </c>
      <c r="E4" s="324">
        <f t="shared" si="0"/>
        <v>9.9163750230244985E-2</v>
      </c>
      <c r="F4" s="324">
        <f t="shared" si="0"/>
        <v>-2.4104461604461603E-2</v>
      </c>
      <c r="G4" s="324">
        <f t="shared" si="0"/>
        <v>1.0035167733604418E-2</v>
      </c>
      <c r="H4" s="324">
        <f t="shared" si="0"/>
        <v>-6.6726057300627681E-2</v>
      </c>
      <c r="I4" s="324">
        <f t="shared" si="0"/>
        <v>-0.1074928772852802</v>
      </c>
      <c r="J4" s="323"/>
    </row>
    <row r="5" spans="1:14">
      <c r="B5" s="322"/>
      <c r="H5" s="302"/>
      <c r="I5" s="302"/>
      <c r="J5" s="302"/>
      <c r="K5" s="302"/>
      <c r="L5" s="302"/>
      <c r="M5" s="302"/>
      <c r="N5" s="302"/>
    </row>
    <row r="6" spans="1:14">
      <c r="A6" s="26" t="s">
        <v>193</v>
      </c>
      <c r="B6" s="257">
        <f>SUM(C2:I2)/7</f>
        <v>1.5743052248232189E-2</v>
      </c>
      <c r="H6" s="302"/>
      <c r="I6" s="302"/>
      <c r="J6" s="302"/>
      <c r="K6" s="302"/>
      <c r="L6" s="302"/>
      <c r="M6" s="302"/>
      <c r="N6" s="302"/>
    </row>
    <row r="7" spans="1:14">
      <c r="A7" s="26" t="s">
        <v>192</v>
      </c>
      <c r="B7" s="257">
        <f>SUM(C4:I4)/7</f>
        <v>-3.078092263578374E-2</v>
      </c>
      <c r="D7" s="26" t="s">
        <v>191</v>
      </c>
      <c r="H7" s="302"/>
      <c r="I7" s="302"/>
      <c r="J7" s="302"/>
      <c r="K7" s="302"/>
      <c r="L7" s="302"/>
      <c r="M7" s="302"/>
      <c r="N7" s="302"/>
    </row>
    <row r="8" spans="1:14">
      <c r="H8" s="302"/>
      <c r="I8" s="302"/>
      <c r="J8" s="302"/>
      <c r="K8" s="302"/>
      <c r="L8" s="302"/>
      <c r="M8" s="302"/>
      <c r="N8" s="302"/>
    </row>
    <row r="9" spans="1:14">
      <c r="A9" s="321"/>
      <c r="B9" s="427" t="s">
        <v>0</v>
      </c>
      <c r="C9" s="427"/>
      <c r="D9" s="427"/>
      <c r="E9" s="427"/>
      <c r="F9" s="428"/>
      <c r="G9" s="320"/>
      <c r="H9" s="319"/>
      <c r="I9" s="318"/>
      <c r="J9" s="302"/>
      <c r="K9" s="302"/>
      <c r="L9" s="302"/>
      <c r="M9" s="302"/>
      <c r="N9" s="302"/>
    </row>
    <row r="10" spans="1:14">
      <c r="A10" s="429" t="s">
        <v>3</v>
      </c>
      <c r="B10" s="3">
        <v>2020</v>
      </c>
      <c r="C10" s="3">
        <v>2019</v>
      </c>
      <c r="D10" s="3">
        <v>2018</v>
      </c>
      <c r="E10" s="3">
        <v>2017</v>
      </c>
      <c r="F10" s="4">
        <v>2016</v>
      </c>
      <c r="G10" s="299"/>
      <c r="H10" s="317"/>
      <c r="I10" s="316"/>
      <c r="J10" s="302"/>
      <c r="K10" s="302"/>
      <c r="L10" s="302"/>
      <c r="M10" s="302"/>
      <c r="N10" s="302"/>
    </row>
    <row r="11" spans="1:14">
      <c r="A11" s="430"/>
      <c r="B11" s="315" t="s">
        <v>4</v>
      </c>
      <c r="C11" s="315" t="s">
        <v>4</v>
      </c>
      <c r="D11" s="315" t="s">
        <v>4</v>
      </c>
      <c r="E11" s="315" t="s">
        <v>4</v>
      </c>
      <c r="F11" s="245" t="s">
        <v>4</v>
      </c>
      <c r="G11" s="314" t="s">
        <v>190</v>
      </c>
      <c r="H11" s="313" t="s">
        <v>189</v>
      </c>
      <c r="I11" s="312" t="s">
        <v>188</v>
      </c>
      <c r="J11" s="302"/>
      <c r="K11" s="302"/>
      <c r="L11" s="302"/>
      <c r="M11" s="302"/>
      <c r="N11" s="302"/>
    </row>
    <row r="12" spans="1:14">
      <c r="A12" s="243" t="s">
        <v>26</v>
      </c>
      <c r="B12" s="114">
        <v>10235</v>
      </c>
      <c r="C12" s="114">
        <v>10398</v>
      </c>
      <c r="D12" s="114">
        <v>9816</v>
      </c>
      <c r="E12" s="114">
        <v>10663</v>
      </c>
      <c r="F12" s="22">
        <v>11040</v>
      </c>
      <c r="G12" s="299"/>
      <c r="H12" s="311"/>
      <c r="I12" s="221">
        <f>B12*(1+H13)</f>
        <v>10055.971314363562</v>
      </c>
    </row>
    <row r="13" spans="1:14">
      <c r="A13" s="298" t="s">
        <v>186</v>
      </c>
      <c r="B13" s="297">
        <f>(B12-C12)/C12</f>
        <v>-1.5676091556068476E-2</v>
      </c>
      <c r="C13" s="297">
        <f>(C12-D12)/D12</f>
        <v>5.9290953545232276E-2</v>
      </c>
      <c r="D13" s="297">
        <f>(D12-E12)/E12</f>
        <v>-7.9433555284629087E-2</v>
      </c>
      <c r="E13" s="297">
        <f>(E12-F12)/F12</f>
        <v>-3.4148550724637683E-2</v>
      </c>
      <c r="F13" s="306"/>
      <c r="G13" s="295">
        <f>SUM(B13:E13)/4</f>
        <v>-1.7491811005025743E-2</v>
      </c>
      <c r="H13" s="304">
        <f>G13</f>
        <v>-1.7491811005025743E-2</v>
      </c>
      <c r="I13" s="221"/>
    </row>
    <row r="14" spans="1:14">
      <c r="A14" s="243" t="s">
        <v>89</v>
      </c>
      <c r="B14" s="114">
        <v>108813</v>
      </c>
      <c r="C14" s="114">
        <v>123265</v>
      </c>
      <c r="D14" s="114">
        <v>132954</v>
      </c>
      <c r="E14" s="114">
        <v>127357</v>
      </c>
      <c r="F14" s="22">
        <v>130153</v>
      </c>
      <c r="G14" s="299"/>
      <c r="H14" s="304"/>
      <c r="I14" s="221">
        <f>B14*(1+H15)</f>
        <v>112621.45499999999</v>
      </c>
    </row>
    <row r="15" spans="1:14">
      <c r="A15" s="298" t="s">
        <v>186</v>
      </c>
      <c r="B15" s="297">
        <f>(B14-C14)/C14</f>
        <v>-0.11724333752484485</v>
      </c>
      <c r="C15" s="297">
        <f>(C14-D14)/D14</f>
        <v>-7.2874828888186888E-2</v>
      </c>
      <c r="D15" s="297">
        <f>(D14-E14)/E14</f>
        <v>4.3947329161333891E-2</v>
      </c>
      <c r="E15" s="297">
        <f>(E14-F14)/F14</f>
        <v>-2.1482409164598589E-2</v>
      </c>
      <c r="F15" s="306"/>
      <c r="G15" s="295">
        <f>SUM(B15:E15)/4</f>
        <v>-4.1913311604074112E-2</v>
      </c>
      <c r="H15" s="304">
        <f>3.5%</f>
        <v>3.5000000000000003E-2</v>
      </c>
      <c r="I15" s="222"/>
    </row>
    <row r="16" spans="1:14">
      <c r="A16" s="301" t="s">
        <v>90</v>
      </c>
      <c r="B16" s="310">
        <f>B12*365/B14</f>
        <v>34.332065102515323</v>
      </c>
      <c r="C16" s="310">
        <f>C12*365/C14</f>
        <v>30.789518517016184</v>
      </c>
      <c r="D16" s="310">
        <f>D12*365/D14</f>
        <v>26.947966966018321</v>
      </c>
      <c r="E16" s="310">
        <f>E12*365/E14</f>
        <v>30.559725810124295</v>
      </c>
      <c r="F16" s="309">
        <f>F12*365/F14</f>
        <v>30.960484967691869</v>
      </c>
      <c r="G16" s="290"/>
      <c r="H16" s="308"/>
      <c r="I16" s="307">
        <f>I12*365/I14</f>
        <v>32.590855177130329</v>
      </c>
    </row>
    <row r="17" spans="1:14">
      <c r="A17" s="243" t="s">
        <v>111</v>
      </c>
      <c r="B17" s="114">
        <v>6247</v>
      </c>
      <c r="C17" s="114">
        <v>6581</v>
      </c>
      <c r="D17" s="114">
        <v>7916</v>
      </c>
      <c r="E17" s="114">
        <v>-3880</v>
      </c>
      <c r="F17" s="22">
        <v>9427</v>
      </c>
      <c r="G17" s="299"/>
      <c r="H17" s="304"/>
      <c r="I17" s="221">
        <f>B17*(1+H19)</f>
        <v>6590.585</v>
      </c>
    </row>
    <row r="18" spans="1:14">
      <c r="A18" s="298" t="s">
        <v>186</v>
      </c>
      <c r="B18" s="297">
        <f>(B17-C17)/C17</f>
        <v>-5.0752165324418778E-2</v>
      </c>
      <c r="C18" s="297">
        <f>(C17-D17)/D17</f>
        <v>-0.16864578069732189</v>
      </c>
      <c r="D18" s="297">
        <f>(D17-F17)/F17</f>
        <v>-0.16028428980587675</v>
      </c>
      <c r="E18" s="297"/>
      <c r="F18" s="306"/>
      <c r="G18" s="295">
        <f>SUM(B18:E18)/3</f>
        <v>-0.12656074527587247</v>
      </c>
      <c r="H18" s="304"/>
      <c r="I18" s="222"/>
    </row>
    <row r="19" spans="1:14">
      <c r="A19" s="298" t="s">
        <v>187</v>
      </c>
      <c r="B19" s="297">
        <f>((B17/F17)^0.25)-1</f>
        <v>-9.7754967338503418E-2</v>
      </c>
      <c r="C19" s="297"/>
      <c r="D19" s="297"/>
      <c r="E19" s="297"/>
      <c r="F19" s="306"/>
      <c r="G19" s="295">
        <f>B19</f>
        <v>-9.7754967338503418E-2</v>
      </c>
      <c r="H19" s="304">
        <v>5.5E-2</v>
      </c>
      <c r="I19" s="222"/>
    </row>
    <row r="20" spans="1:14">
      <c r="A20" s="300" t="s">
        <v>97</v>
      </c>
      <c r="B20" s="68">
        <v>122485</v>
      </c>
      <c r="C20" s="68">
        <v>137237</v>
      </c>
      <c r="D20" s="68">
        <v>147049</v>
      </c>
      <c r="E20" s="68">
        <v>145588</v>
      </c>
      <c r="F20" s="69">
        <v>149184</v>
      </c>
      <c r="G20" s="299"/>
      <c r="H20" s="304"/>
      <c r="I20" s="305">
        <f>B20*(1+H21)</f>
        <v>126159.55</v>
      </c>
      <c r="J20" s="302"/>
      <c r="K20" s="302"/>
      <c r="L20" s="302"/>
      <c r="M20" s="302"/>
      <c r="N20" s="302"/>
    </row>
    <row r="21" spans="1:14">
      <c r="A21" s="298" t="s">
        <v>186</v>
      </c>
      <c r="B21" s="297">
        <f>(B20-C20)/C20</f>
        <v>-0.1074928772852802</v>
      </c>
      <c r="C21" s="297">
        <f>(C20-D20)/D20</f>
        <v>-6.6726057300627681E-2</v>
      </c>
      <c r="D21" s="297">
        <f>(D20-E20)/E20</f>
        <v>1.0035167733604418E-2</v>
      </c>
      <c r="E21" s="297">
        <f>(E20-F20)/F20</f>
        <v>-2.4104461604461603E-2</v>
      </c>
      <c r="F21" s="296"/>
      <c r="G21" s="295">
        <f>SUM(B21:E21)/4</f>
        <v>-4.7072057114191268E-2</v>
      </c>
      <c r="H21" s="304">
        <v>0.03</v>
      </c>
      <c r="I21" s="303"/>
      <c r="J21" s="302"/>
      <c r="K21" s="302"/>
      <c r="L21" s="302"/>
      <c r="M21" s="302"/>
      <c r="N21" s="302"/>
    </row>
    <row r="22" spans="1:14">
      <c r="A22" s="301" t="s">
        <v>112</v>
      </c>
      <c r="B22" s="292">
        <f>B17/B20</f>
        <v>5.1002163530228191E-2</v>
      </c>
      <c r="C22" s="292">
        <f>C17/C20</f>
        <v>4.7953540226032342E-2</v>
      </c>
      <c r="D22" s="292">
        <f>D17/D20</f>
        <v>5.3832396004053068E-2</v>
      </c>
      <c r="E22" s="292">
        <f>E17/E20</f>
        <v>-2.6650548122097974E-2</v>
      </c>
      <c r="F22" s="291">
        <f>F17/F20</f>
        <v>6.3190422565422566E-2</v>
      </c>
      <c r="G22" s="290"/>
      <c r="H22" s="289"/>
      <c r="I22" s="288">
        <f>I17/I20</f>
        <v>5.224008012076771E-2</v>
      </c>
    </row>
    <row r="23" spans="1:14">
      <c r="A23" s="300" t="s">
        <v>169</v>
      </c>
      <c r="B23" s="68">
        <v>49677</v>
      </c>
      <c r="C23" s="68">
        <v>45957</v>
      </c>
      <c r="D23" s="68">
        <v>42777</v>
      </c>
      <c r="E23" s="68">
        <v>36200</v>
      </c>
      <c r="F23" s="69">
        <v>44075</v>
      </c>
      <c r="G23" s="299"/>
      <c r="H23" s="294"/>
      <c r="I23" s="221">
        <f>B23*(1+H24)</f>
        <v>51642.92518965491</v>
      </c>
    </row>
    <row r="24" spans="1:14">
      <c r="A24" s="298" t="s">
        <v>186</v>
      </c>
      <c r="B24" s="297">
        <f>(B23-C23)/C23</f>
        <v>8.094523141197206E-2</v>
      </c>
      <c r="C24" s="297">
        <f>(C23-D23)/D23</f>
        <v>7.4339013956097905E-2</v>
      </c>
      <c r="D24" s="297">
        <f>(D23-E23)/E23</f>
        <v>0.18168508287292817</v>
      </c>
      <c r="E24" s="297">
        <f>(E23-F23)/F23</f>
        <v>-0.17867271695972772</v>
      </c>
      <c r="F24" s="296"/>
      <c r="G24" s="295">
        <f>SUM(B24:E24)/4</f>
        <v>3.95741528203176E-2</v>
      </c>
      <c r="H24" s="294">
        <f>G24</f>
        <v>3.95741528203176E-2</v>
      </c>
      <c r="I24" s="222"/>
    </row>
    <row r="25" spans="1:14">
      <c r="A25" s="293" t="s">
        <v>168</v>
      </c>
      <c r="B25" s="292">
        <f>B17/B23</f>
        <v>0.12575236024719688</v>
      </c>
      <c r="C25" s="292">
        <f>C17/C23</f>
        <v>0.14319907739843768</v>
      </c>
      <c r="D25" s="292">
        <f>D17/D23</f>
        <v>0.18505271524417327</v>
      </c>
      <c r="E25" s="292">
        <f>E17/E23</f>
        <v>-0.10718232044198896</v>
      </c>
      <c r="F25" s="291">
        <f>F17/F23</f>
        <v>0.213885422575156</v>
      </c>
      <c r="G25" s="290"/>
      <c r="H25" s="289"/>
      <c r="I25" s="288">
        <f>I17/I23</f>
        <v>0.12761835190002413</v>
      </c>
    </row>
    <row r="27" spans="1:14" s="53" customFormat="1">
      <c r="A27" s="53" t="s">
        <v>185</v>
      </c>
    </row>
    <row r="28" spans="1:14">
      <c r="A28" s="431" t="s">
        <v>184</v>
      </c>
      <c r="B28" s="431"/>
      <c r="C28" s="431"/>
      <c r="D28" s="431"/>
      <c r="E28" s="431"/>
      <c r="F28" s="431"/>
      <c r="G28" s="431"/>
      <c r="H28" s="431"/>
      <c r="I28" s="431"/>
      <c r="J28" s="431"/>
    </row>
    <row r="29" spans="1:14">
      <c r="A29" s="431"/>
      <c r="B29" s="431"/>
      <c r="C29" s="431"/>
      <c r="D29" s="431"/>
      <c r="E29" s="431"/>
      <c r="F29" s="431"/>
      <c r="G29" s="431"/>
      <c r="H29" s="431"/>
      <c r="I29" s="431"/>
      <c r="J29" s="431"/>
    </row>
    <row r="30" spans="1:14" ht="16" customHeight="1">
      <c r="A30" s="431" t="s">
        <v>183</v>
      </c>
      <c r="B30" s="431"/>
      <c r="C30" s="431"/>
      <c r="D30" s="431"/>
      <c r="E30" s="431"/>
      <c r="F30" s="431"/>
      <c r="G30" s="431"/>
      <c r="H30" s="431"/>
      <c r="I30" s="431"/>
      <c r="J30" s="431"/>
    </row>
    <row r="31" spans="1:14">
      <c r="A31" s="431"/>
      <c r="B31" s="431"/>
      <c r="C31" s="431"/>
      <c r="D31" s="431"/>
      <c r="E31" s="431"/>
      <c r="F31" s="431"/>
      <c r="G31" s="431"/>
      <c r="H31" s="431"/>
      <c r="I31" s="431"/>
      <c r="J31" s="431"/>
    </row>
    <row r="32" spans="1:14">
      <c r="A32" s="431"/>
      <c r="B32" s="431"/>
      <c r="C32" s="431"/>
      <c r="D32" s="431"/>
      <c r="E32" s="431"/>
      <c r="F32" s="431"/>
      <c r="G32" s="431"/>
      <c r="H32" s="431"/>
      <c r="I32" s="431"/>
      <c r="J32" s="431"/>
    </row>
    <row r="33" spans="1:10">
      <c r="A33" s="431"/>
      <c r="B33" s="431"/>
      <c r="C33" s="431"/>
      <c r="D33" s="431"/>
      <c r="E33" s="431"/>
      <c r="F33" s="431"/>
      <c r="G33" s="431"/>
      <c r="H33" s="431"/>
      <c r="I33" s="431"/>
      <c r="J33" s="431"/>
    </row>
    <row r="34" spans="1:10">
      <c r="A34" s="431" t="s">
        <v>182</v>
      </c>
      <c r="B34" s="431"/>
      <c r="C34" s="431"/>
      <c r="D34" s="431"/>
      <c r="E34" s="431"/>
      <c r="F34" s="431"/>
      <c r="G34" s="431"/>
      <c r="H34" s="431"/>
      <c r="I34" s="431"/>
      <c r="J34" s="431"/>
    </row>
    <row r="35" spans="1:10">
      <c r="A35" s="431"/>
      <c r="B35" s="431"/>
      <c r="C35" s="431"/>
      <c r="D35" s="431"/>
      <c r="E35" s="431"/>
      <c r="F35" s="431"/>
      <c r="G35" s="431"/>
      <c r="H35" s="431"/>
      <c r="I35" s="431"/>
      <c r="J35" s="431"/>
    </row>
    <row r="36" spans="1:10">
      <c r="A36" s="431"/>
      <c r="B36" s="431"/>
      <c r="C36" s="431"/>
      <c r="D36" s="431"/>
      <c r="E36" s="431"/>
      <c r="F36" s="431"/>
      <c r="G36" s="431"/>
      <c r="H36" s="431"/>
      <c r="I36" s="431"/>
      <c r="J36" s="431"/>
    </row>
    <row r="37" spans="1:10">
      <c r="E37" s="287"/>
      <c r="F37" s="287"/>
      <c r="G37" s="287"/>
      <c r="H37" s="287"/>
      <c r="I37" s="287"/>
    </row>
    <row r="38" spans="1:10">
      <c r="A38" s="26" t="s">
        <v>181</v>
      </c>
      <c r="B38" s="286" t="s">
        <v>180</v>
      </c>
    </row>
    <row r="39" spans="1:10">
      <c r="B39" s="286" t="s">
        <v>179</v>
      </c>
    </row>
    <row r="40" spans="1:10">
      <c r="B40" s="286" t="s">
        <v>178</v>
      </c>
    </row>
  </sheetData>
  <mergeCells count="5">
    <mergeCell ref="B9:F9"/>
    <mergeCell ref="A10:A11"/>
    <mergeCell ref="A28:J29"/>
    <mergeCell ref="A30:J33"/>
    <mergeCell ref="A34:J36"/>
  </mergeCells>
  <hyperlinks>
    <hyperlink ref="B38" r:id="rId1" xr:uid="{04BDE065-57A3-5443-AB24-30D04F1314DF}"/>
    <hyperlink ref="B39" r:id="rId2" xr:uid="{C9173F05-8F49-7746-BA9A-17B4EB1405E2}"/>
    <hyperlink ref="B40" r:id="rId3" xr:uid="{8399AE61-3846-C149-9A99-8D531859C737}"/>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510E6-FAF7-3A42-9CDC-B85063B94D6F}">
  <dimension ref="A1:K38"/>
  <sheetViews>
    <sheetView zoomScale="86" zoomScaleNormal="86" workbookViewId="0">
      <selection activeCell="G34" sqref="G34"/>
    </sheetView>
  </sheetViews>
  <sheetFormatPr baseColWidth="10" defaultColWidth="10.83203125" defaultRowHeight="16"/>
  <cols>
    <col min="1" max="1" width="23.83203125" style="26" bestFit="1" customWidth="1"/>
    <col min="2" max="2" width="11.5" style="90" bestFit="1" customWidth="1"/>
    <col min="3" max="3" width="10.83203125" style="26"/>
    <col min="4" max="4" width="9" style="26" customWidth="1"/>
    <col min="5" max="5" width="18.33203125" style="26" customWidth="1"/>
    <col min="6" max="7" width="11.6640625" style="26" bestFit="1" customWidth="1"/>
    <col min="8" max="16384" width="10.83203125" style="26"/>
  </cols>
  <sheetData>
    <row r="1" spans="1:11">
      <c r="A1" s="53" t="s">
        <v>196</v>
      </c>
      <c r="B1" s="91" t="s">
        <v>203</v>
      </c>
    </row>
    <row r="2" spans="1:11">
      <c r="A2" s="323" t="s">
        <v>26</v>
      </c>
      <c r="B2" s="333">
        <f>'Sensitivity - Input'!I12</f>
        <v>10055.971314363562</v>
      </c>
      <c r="I2" s="26" t="s">
        <v>26</v>
      </c>
    </row>
    <row r="3" spans="1:11">
      <c r="A3" s="323" t="s">
        <v>201</v>
      </c>
      <c r="B3" s="333">
        <f>'Sensitivity - Input'!I14</f>
        <v>112621.45499999999</v>
      </c>
      <c r="F3" s="322">
        <f>B5</f>
        <v>32.590855177130329</v>
      </c>
      <c r="G3" s="334">
        <v>9380</v>
      </c>
      <c r="H3" s="334">
        <v>9550</v>
      </c>
      <c r="I3" s="339">
        <v>9710</v>
      </c>
      <c r="J3" s="334">
        <v>9880</v>
      </c>
      <c r="K3" s="339">
        <v>10055.969999999999</v>
      </c>
    </row>
    <row r="4" spans="1:11">
      <c r="A4" s="323"/>
      <c r="B4" s="333"/>
      <c r="E4" s="322"/>
      <c r="F4" s="332">
        <v>108680</v>
      </c>
      <c r="G4" s="337">
        <f t="dataTable" ref="G4:K8" dt2D="1" dtr="1" r1="B2" r2="B3"/>
        <v>31.502576370997424</v>
      </c>
      <c r="H4" s="337">
        <v>32.073518586676485</v>
      </c>
      <c r="I4" s="337">
        <v>32.610875966139126</v>
      </c>
      <c r="J4" s="337">
        <v>33.18181818181818</v>
      </c>
      <c r="K4" s="337">
        <v>33.772810544718439</v>
      </c>
    </row>
    <row r="5" spans="1:11">
      <c r="A5" s="328" t="s">
        <v>202</v>
      </c>
      <c r="B5" s="338">
        <f>(B2/B3)*365</f>
        <v>32.590855177130329</v>
      </c>
      <c r="C5" s="53"/>
      <c r="E5" s="336"/>
      <c r="F5" s="332">
        <v>112621.46</v>
      </c>
      <c r="G5" s="337">
        <v>30.400067624767068</v>
      </c>
      <c r="H5" s="337">
        <v>30.951028338648776</v>
      </c>
      <c r="I5" s="337">
        <v>31.469579598772736</v>
      </c>
      <c r="J5" s="337">
        <v>32.02054031265444</v>
      </c>
      <c r="K5" s="337">
        <v>32.590849470429525</v>
      </c>
    </row>
    <row r="6" spans="1:11">
      <c r="E6" s="26" t="s">
        <v>201</v>
      </c>
      <c r="F6" s="330">
        <v>116560</v>
      </c>
      <c r="G6" s="337">
        <v>29.372855181880574</v>
      </c>
      <c r="H6" s="337">
        <v>29.905199039121481</v>
      </c>
      <c r="I6" s="337">
        <v>30.406228551818806</v>
      </c>
      <c r="J6" s="337">
        <v>30.938572409059713</v>
      </c>
      <c r="K6" s="337">
        <v>31.489610929993137</v>
      </c>
    </row>
    <row r="7" spans="1:11">
      <c r="E7" s="14"/>
      <c r="F7" s="332">
        <v>120640</v>
      </c>
      <c r="G7" s="337">
        <v>28.379476127320956</v>
      </c>
      <c r="H7" s="337">
        <v>28.893816312997348</v>
      </c>
      <c r="I7" s="337">
        <v>29.377901193633949</v>
      </c>
      <c r="J7" s="337">
        <v>29.892241379310345</v>
      </c>
      <c r="K7" s="337">
        <v>30.424643982095489</v>
      </c>
    </row>
    <row r="8" spans="1:11">
      <c r="E8" s="336"/>
      <c r="F8" s="332">
        <v>124860</v>
      </c>
      <c r="G8" s="337">
        <v>27.420310748037799</v>
      </c>
      <c r="H8" s="337">
        <v>27.91726733942015</v>
      </c>
      <c r="I8" s="337">
        <v>28.384991190132951</v>
      </c>
      <c r="J8" s="337">
        <v>28.881947781515297</v>
      </c>
      <c r="K8" s="337">
        <v>29.396356319077363</v>
      </c>
    </row>
    <row r="9" spans="1:11">
      <c r="E9" s="336"/>
    </row>
    <row r="11" spans="1:11">
      <c r="I11" s="26" t="s">
        <v>198</v>
      </c>
    </row>
    <row r="12" spans="1:11">
      <c r="A12" s="323" t="s">
        <v>198</v>
      </c>
      <c r="B12" s="333">
        <f>'Sensitivity - Input'!I17</f>
        <v>6590.585</v>
      </c>
      <c r="F12" s="257">
        <f>B15</f>
        <v>0.12761835190002413</v>
      </c>
      <c r="G12" s="334">
        <v>6230</v>
      </c>
      <c r="H12" s="334">
        <v>6590.59</v>
      </c>
      <c r="I12" s="335">
        <v>6950</v>
      </c>
      <c r="J12" s="334">
        <v>7330</v>
      </c>
      <c r="K12" s="334">
        <v>7730</v>
      </c>
    </row>
    <row r="13" spans="1:11">
      <c r="A13" s="323" t="s">
        <v>199</v>
      </c>
      <c r="B13" s="333">
        <f>'Sensitivity - Input'!I23</f>
        <v>51642.92518965491</v>
      </c>
      <c r="F13" s="332">
        <f>F14-('Sensitivity Analysis'!F14*3.96%)</f>
        <v>49599.858</v>
      </c>
      <c r="G13" s="329">
        <f t="dataTable" ref="G13:K17" dt2D="1" dtr="1" r1="B12" r2="B13"/>
        <v>0.12560519830520483</v>
      </c>
      <c r="H13" s="329">
        <v>0.13287517879587479</v>
      </c>
      <c r="I13" s="329">
        <v>0.1401213688958545</v>
      </c>
      <c r="J13" s="329">
        <v>0.14778268115203072</v>
      </c>
      <c r="K13" s="329">
        <v>0.15584722036905832</v>
      </c>
    </row>
    <row r="14" spans="1:11">
      <c r="A14" s="323"/>
      <c r="B14" s="333"/>
      <c r="F14" s="332">
        <v>51645</v>
      </c>
      <c r="G14" s="329">
        <v>0.12063123245231872</v>
      </c>
      <c r="H14" s="329">
        <v>0.12761332171555814</v>
      </c>
      <c r="I14" s="329">
        <v>0.13457256268757867</v>
      </c>
      <c r="J14" s="329">
        <v>0.14193048697841029</v>
      </c>
      <c r="K14" s="329">
        <v>0.14967567044244359</v>
      </c>
    </row>
    <row r="15" spans="1:11">
      <c r="A15" s="328" t="s">
        <v>200</v>
      </c>
      <c r="B15" s="331">
        <f>B12/B13</f>
        <v>0.12761835190002413</v>
      </c>
      <c r="C15" s="53"/>
      <c r="E15" s="26" t="s">
        <v>199</v>
      </c>
      <c r="F15" s="332">
        <v>53690</v>
      </c>
      <c r="G15" s="329">
        <v>0.11603650586701435</v>
      </c>
      <c r="H15" s="329">
        <v>0.12275265412553549</v>
      </c>
      <c r="I15" s="329">
        <v>0.12944682436207861</v>
      </c>
      <c r="J15" s="329">
        <v>0.13652449245669585</v>
      </c>
      <c r="K15" s="329">
        <v>0.1439746693983982</v>
      </c>
    </row>
    <row r="16" spans="1:11">
      <c r="F16" s="332">
        <v>55815</v>
      </c>
      <c r="G16" s="329">
        <v>0.11161874048194929</v>
      </c>
      <c r="H16" s="329">
        <v>0.11807919018185076</v>
      </c>
      <c r="I16" s="329">
        <v>0.12451849861148437</v>
      </c>
      <c r="J16" s="329">
        <v>0.13132670429096122</v>
      </c>
      <c r="K16" s="329">
        <v>0.13849323658514737</v>
      </c>
    </row>
    <row r="17" spans="1:11">
      <c r="F17" s="332">
        <f>F16+(3.96%*F16)</f>
        <v>58025.273999999998</v>
      </c>
      <c r="G17" s="329">
        <v>0.10736700700456839</v>
      </c>
      <c r="H17" s="329">
        <v>0.11358136800870601</v>
      </c>
      <c r="I17" s="329">
        <v>0.11977539304682991</v>
      </c>
      <c r="J17" s="329">
        <v>0.1263242634580235</v>
      </c>
      <c r="K17" s="329">
        <v>0.13321781125927989</v>
      </c>
    </row>
    <row r="20" spans="1:11">
      <c r="I20" s="26" t="s">
        <v>198</v>
      </c>
    </row>
    <row r="21" spans="1:11">
      <c r="A21" s="323" t="s">
        <v>198</v>
      </c>
      <c r="B21" s="333">
        <f>B12</f>
        <v>6590.585</v>
      </c>
      <c r="F21" s="257">
        <f>B24</f>
        <v>5.224008012076771E-2</v>
      </c>
      <c r="G21" s="334">
        <v>6230</v>
      </c>
      <c r="H21" s="334">
        <v>6590.59</v>
      </c>
      <c r="I21" s="335">
        <v>6950</v>
      </c>
      <c r="J21" s="334">
        <v>7330</v>
      </c>
      <c r="K21" s="334">
        <v>7730</v>
      </c>
    </row>
    <row r="22" spans="1:11">
      <c r="A22" s="323" t="s">
        <v>5</v>
      </c>
      <c r="B22" s="333">
        <f>'Sensitivity - Input'!I20</f>
        <v>126159.55</v>
      </c>
      <c r="F22" s="332">
        <v>122370</v>
      </c>
      <c r="G22" s="329">
        <f t="dataTable" ref="G22:K26" dt2D="1" dtr="1" r1="B21" r2="B22"/>
        <v>5.0911171038653266E-2</v>
      </c>
      <c r="H22" s="329">
        <v>5.385789000572036E-2</v>
      </c>
      <c r="I22" s="329">
        <v>5.6794966086459099E-2</v>
      </c>
      <c r="J22" s="329">
        <v>5.9900302361689958E-2</v>
      </c>
      <c r="K22" s="329">
        <v>6.3169077388248757E-2</v>
      </c>
    </row>
    <row r="23" spans="1:11">
      <c r="A23" s="323"/>
      <c r="B23" s="333"/>
      <c r="F23" s="332">
        <f>B22</f>
        <v>126159.55</v>
      </c>
      <c r="G23" s="329">
        <v>5.0911171038653266E-2</v>
      </c>
      <c r="H23" s="329">
        <v>5.385789000572036E-2</v>
      </c>
      <c r="I23" s="329">
        <v>5.6794966086459099E-2</v>
      </c>
      <c r="J23" s="329">
        <v>5.9900302361689958E-2</v>
      </c>
      <c r="K23" s="329">
        <v>6.3169077388248757E-2</v>
      </c>
    </row>
    <row r="24" spans="1:11">
      <c r="A24" s="328" t="s">
        <v>197</v>
      </c>
      <c r="B24" s="331">
        <f>B21/B22</f>
        <v>5.224008012076771E-2</v>
      </c>
      <c r="E24" s="26" t="s">
        <v>5</v>
      </c>
      <c r="F24" s="330">
        <v>129945</v>
      </c>
      <c r="G24" s="329">
        <v>4.7943360652583783E-2</v>
      </c>
      <c r="H24" s="329">
        <v>5.0718303897802915E-2</v>
      </c>
      <c r="I24" s="329">
        <v>5.3484166378083037E-2</v>
      </c>
      <c r="J24" s="329">
        <v>5.6408480510985418E-2</v>
      </c>
      <c r="K24" s="329">
        <v>5.9486705914040552E-2</v>
      </c>
    </row>
    <row r="25" spans="1:11">
      <c r="F25" s="330">
        <v>133845</v>
      </c>
      <c r="G25" s="329">
        <v>4.6546378273375918E-2</v>
      </c>
      <c r="H25" s="329">
        <v>4.9240464716649855E-2</v>
      </c>
      <c r="I25" s="329">
        <v>5.1925734991968321E-2</v>
      </c>
      <c r="J25" s="329">
        <v>5.4764839926780981E-2</v>
      </c>
      <c r="K25" s="329">
        <v>5.7753371437110089E-2</v>
      </c>
    </row>
    <row r="26" spans="1:11">
      <c r="F26" s="330">
        <v>137860</v>
      </c>
      <c r="G26" s="329">
        <v>4.5190773248222835E-2</v>
      </c>
      <c r="H26" s="329">
        <v>4.7806397794864355E-2</v>
      </c>
      <c r="I26" s="329">
        <v>5.0413462933410709E-2</v>
      </c>
      <c r="J26" s="329">
        <v>5.3169882489482082E-2</v>
      </c>
      <c r="K26" s="329">
        <v>5.60713767590309E-2</v>
      </c>
    </row>
    <row r="31" spans="1:11">
      <c r="B31" s="26"/>
    </row>
    <row r="32" spans="1:11">
      <c r="B32" s="26"/>
    </row>
    <row r="33" spans="2:2">
      <c r="B33" s="26"/>
    </row>
    <row r="34" spans="2:2">
      <c r="B34" s="26"/>
    </row>
    <row r="35" spans="2:2">
      <c r="B35" s="26"/>
    </row>
    <row r="36" spans="2:2">
      <c r="B36" s="26"/>
    </row>
    <row r="37" spans="2:2">
      <c r="B37" s="26"/>
    </row>
    <row r="38" spans="2:2">
      <c r="B38"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1C5D6-D721-344D-8831-FCDA394A1215}">
  <dimension ref="A1:B15"/>
  <sheetViews>
    <sheetView tabSelected="1" workbookViewId="0">
      <selection activeCell="A21" sqref="A21"/>
    </sheetView>
  </sheetViews>
  <sheetFormatPr baseColWidth="10" defaultRowHeight="16"/>
  <cols>
    <col min="1" max="1" width="45.83203125" bestFit="1" customWidth="1"/>
  </cols>
  <sheetData>
    <row r="1" spans="1:2" s="196" customFormat="1">
      <c r="A1" s="196" t="s">
        <v>219</v>
      </c>
      <c r="B1" s="345">
        <v>4170</v>
      </c>
    </row>
    <row r="2" spans="1:2">
      <c r="A2" s="349" t="s">
        <v>220</v>
      </c>
    </row>
    <row r="3" spans="1:2">
      <c r="A3" s="196" t="s">
        <v>221</v>
      </c>
    </row>
    <row r="4" spans="1:2">
      <c r="A4" s="340" t="s">
        <v>204</v>
      </c>
      <c r="B4" s="341">
        <v>127</v>
      </c>
    </row>
    <row r="5" spans="1:2">
      <c r="A5" s="340" t="s">
        <v>205</v>
      </c>
      <c r="B5" s="341">
        <v>72</v>
      </c>
    </row>
    <row r="6" spans="1:2">
      <c r="A6" s="340" t="s">
        <v>206</v>
      </c>
      <c r="B6" s="341">
        <v>18</v>
      </c>
    </row>
    <row r="7" spans="1:2">
      <c r="A7" s="340" t="s">
        <v>218</v>
      </c>
      <c r="B7" s="341">
        <v>45</v>
      </c>
    </row>
    <row r="8" spans="1:2">
      <c r="A8" s="340" t="s">
        <v>207</v>
      </c>
      <c r="B8" s="341">
        <v>32</v>
      </c>
    </row>
    <row r="9" spans="1:2">
      <c r="A9" s="340" t="s">
        <v>208</v>
      </c>
      <c r="B9" s="341">
        <v>27</v>
      </c>
    </row>
    <row r="10" spans="1:2" s="196" customFormat="1">
      <c r="A10" s="344" t="s">
        <v>209</v>
      </c>
      <c r="B10" s="342">
        <f>SUM(B4:B9)</f>
        <v>321</v>
      </c>
    </row>
    <row r="12" spans="1:2" s="196" customFormat="1">
      <c r="A12" s="344" t="s">
        <v>210</v>
      </c>
      <c r="B12" s="343">
        <f>B1-B10</f>
        <v>3849</v>
      </c>
    </row>
    <row r="13" spans="1:2" s="196" customFormat="1">
      <c r="A13" s="344" t="s">
        <v>211</v>
      </c>
      <c r="B13" s="345">
        <f>3500+0.1*3500</f>
        <v>3850</v>
      </c>
    </row>
    <row r="15" spans="1:2" s="196" customFormat="1">
      <c r="A15" s="196" t="s">
        <v>212</v>
      </c>
      <c r="B15" s="343">
        <f>B12-B13</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BS</vt:lpstr>
      <vt:lpstr>IS</vt:lpstr>
      <vt:lpstr>CF</vt:lpstr>
      <vt:lpstr>Profitability Ratios</vt:lpstr>
      <vt:lpstr>Liquidity and Efficiency Ratios</vt:lpstr>
      <vt:lpstr>Gearing Ratios</vt:lpstr>
      <vt:lpstr>Investment Ratios</vt:lpstr>
      <vt:lpstr>DuPont Analysis</vt:lpstr>
      <vt:lpstr>Ratios - Summary</vt:lpstr>
      <vt:lpstr>Relative Valuation PE</vt:lpstr>
      <vt:lpstr>Z Score</vt:lpstr>
      <vt:lpstr>F-Score</vt:lpstr>
      <vt:lpstr>Sensitivity - Input</vt:lpstr>
      <vt:lpstr>Sensitivity Analysis</vt:lpstr>
      <vt:lpstr>Word 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2021-05-16T17:05:55Z</dcterms:created>
  <dcterms:modified xsi:type="dcterms:W3CDTF">2021-06-18T12:23:22Z</dcterms:modified>
</cp:coreProperties>
</file>