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tions" sheetId="1" r:id="rId4"/>
    <sheet state="visible" name="CALCULATOR" sheetId="2" r:id="rId5"/>
    <sheet state="visible" name="Detailed" sheetId="3" r:id="rId6"/>
    <sheet state="hidden" name="Sheet4" sheetId="4" r:id="rId7"/>
  </sheets>
  <definedNames/>
  <calcPr/>
  <extLst>
    <ext uri="GoogleSheetsCustomDataVersion1">
      <go:sheetsCustomData xmlns:go="http://customooxmlschemas.google.com/" r:id="rId8" roundtripDataSignature="AMtx7mgZ3PUJcVqfQ4H6FYgkzwfoA95etQ=="/>
    </ext>
  </extLst>
</workbook>
</file>

<file path=xl/sharedStrings.xml><?xml version="1.0" encoding="utf-8"?>
<sst xmlns="http://schemas.openxmlformats.org/spreadsheetml/2006/main" count="183" uniqueCount="82">
  <si>
    <t>Propellor and motor combinations</t>
  </si>
  <si>
    <t>Thrust (g)</t>
  </si>
  <si>
    <t>Amps</t>
  </si>
  <si>
    <t>Efficiency</t>
  </si>
  <si>
    <t>Prop Diameter (in)</t>
  </si>
  <si>
    <t>Prop Diameter(in)</t>
  </si>
  <si>
    <t>Weight(g)</t>
  </si>
  <si>
    <t>Batteries</t>
  </si>
  <si>
    <t>15000 mAh</t>
  </si>
  <si>
    <t>8000mAh</t>
  </si>
  <si>
    <t>12000mAh</t>
  </si>
  <si>
    <t>Capacity(mAh)</t>
  </si>
  <si>
    <t>Voltage (V)</t>
  </si>
  <si>
    <t>Propellor type</t>
  </si>
  <si>
    <t># of Prop</t>
  </si>
  <si>
    <t>Battery Type</t>
  </si>
  <si>
    <t># of Batteries</t>
  </si>
  <si>
    <t>Frame weight (not including motors, propellors, batteries or food weight) (kg)</t>
  </si>
  <si>
    <t>&lt; plug your info here!</t>
  </si>
  <si>
    <t>Thrust required/motor</t>
  </si>
  <si>
    <t>Actual thrust/motor</t>
  </si>
  <si>
    <t>Will it fly?</t>
  </si>
  <si>
    <t>Throttle %</t>
  </si>
  <si>
    <t>Total Weight (g)</t>
  </si>
  <si>
    <t>Discharge (A)</t>
  </si>
  <si>
    <t>Battery Effective Capacity(mAh)</t>
  </si>
  <si>
    <t>Flight Time (min)</t>
  </si>
  <si>
    <t>propellor</t>
  </si>
  <si>
    <t>inner sphere</t>
  </si>
  <si>
    <t>outer sphere</t>
  </si>
  <si>
    <t>food</t>
  </si>
  <si>
    <t>drone</t>
  </si>
  <si>
    <t>mass</t>
  </si>
  <si>
    <t>efficiency  of 1</t>
  </si>
  <si>
    <t>mAh</t>
  </si>
  <si>
    <t>inner shell</t>
  </si>
  <si>
    <t>small sphere</t>
  </si>
  <si>
    <t>small balls</t>
  </si>
  <si>
    <t>large sphere</t>
  </si>
  <si>
    <t>shell - ring</t>
  </si>
  <si>
    <t>bettery</t>
  </si>
  <si>
    <t>lock</t>
  </si>
  <si>
    <t>hinge</t>
  </si>
  <si>
    <t>egg</t>
  </si>
  <si>
    <t>inner diameter</t>
  </si>
  <si>
    <t>thinkness</t>
  </si>
  <si>
    <t>outer diameter</t>
  </si>
  <si>
    <t>diameter</t>
  </si>
  <si>
    <t>median diameter</t>
  </si>
  <si>
    <t>gap</t>
  </si>
  <si>
    <t>height</t>
  </si>
  <si>
    <t>volume</t>
  </si>
  <si>
    <t>cost</t>
  </si>
  <si>
    <t>wall volume</t>
  </si>
  <si>
    <t>total volume</t>
  </si>
  <si>
    <t>polypropylene</t>
  </si>
  <si>
    <t>$1.3/kg</t>
  </si>
  <si>
    <t>solid volume</t>
  </si>
  <si>
    <t>frame mass</t>
  </si>
  <si>
    <t>total mass</t>
  </si>
  <si>
    <t xml:space="preserve">six NO.1 Propellor and motor combinations					</t>
  </si>
  <si>
    <t xml:space="preserve"> two 15000 mAh batteries</t>
  </si>
  <si>
    <t xml:space="preserve">thrust </t>
  </si>
  <si>
    <t>capacity</t>
  </si>
  <si>
    <t>https://www.sleepfoundation.org/mattress-information/foam-density</t>
  </si>
  <si>
    <t>total cost</t>
  </si>
  <si>
    <t>https://www.alibaba.com/showroom/polystyrene-foam-price.html</t>
  </si>
  <si>
    <t>Polymethylpentene</t>
  </si>
  <si>
    <t xml:space="preserve">wild steel
</t>
  </si>
  <si>
    <t>Carbon-fiber-reinforced polymers</t>
  </si>
  <si>
    <t>835kg/m3</t>
  </si>
  <si>
    <t>7850kg/m3</t>
  </si>
  <si>
    <t>$0.55/kg</t>
  </si>
  <si>
    <t>1150kg/m3</t>
  </si>
  <si>
    <t>$15/kg</t>
  </si>
  <si>
    <t>https://www.statista.com/statistics/1171084/price-polypropylene-forecast-globally/</t>
  </si>
  <si>
    <t>https://www.alibaba.com/showroom/price-of-mild-steel-per-kg.html</t>
  </si>
  <si>
    <t>https://smicomposites.com/carbon-fiber-cost-factors-that-influence-the-most/</t>
  </si>
  <si>
    <t>https://omnexus.specialchem.com/polymer-properties/properties/density</t>
  </si>
  <si>
    <t>Propellor Properties</t>
  </si>
  <si>
    <t>Battery Properties</t>
  </si>
  <si>
    <t>g/amp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</si>
</sst>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0.000"/>
    <numFmt numFmtId="165" formatCode="#,##0.000"/>
    <numFmt numFmtId="166" formatCode="#,##0.0000"/>
    <numFmt numFmtId="167" formatCode="#,##0.0000000000"/>
    <numFmt numFmtId="168" formatCode="#,##0.00000000"/>
    <numFmt numFmtId="169" formatCode="#,##0.00000"/>
    <numFmt numFmtId="170" formatCode="#,##0.000000000"/>
    <numFmt numFmtId="171" formatCode="#,##0.0000000"/>
    <numFmt numFmtId="172" formatCode="#,##0.000000"/>
  </numFmts>
  <fonts count="10">
    <font>
      <sz val="10.0"/>
      <color rgb="FF000000"/>
      <name val="Arial"/>
    </font>
    <font>
      <color theme="1"/>
      <name val="Arial"/>
    </font>
    <font>
      <color rgb="FF000000"/>
      <name val="Arial"/>
    </font>
    <font>
      <b/>
      <color theme="1"/>
      <name val="Arial"/>
    </font>
    <font>
      <u/>
      <color rgb="FF1155CC"/>
      <name val="Arial"/>
    </font>
    <font>
      <sz val="11.0"/>
      <color rgb="FF000000"/>
      <name val="Inconsolata"/>
    </font>
    <font>
      <sz val="11.0"/>
      <color theme="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6"/>
        <bgColor theme="6"/>
      </patternFill>
    </fill>
  </fills>
  <borders count="1">
    <border/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/>
    </xf>
    <xf borderId="0" fillId="3" fontId="1" numFmtId="0" xfId="0" applyAlignment="1" applyFill="1" applyFont="1">
      <alignment horizontal="center"/>
    </xf>
    <xf borderId="0" fillId="4" fontId="1" numFmtId="0" xfId="0" applyAlignment="1" applyFill="1" applyFont="1">
      <alignment horizontal="center"/>
    </xf>
    <xf borderId="0" fillId="2" fontId="1" numFmtId="9" xfId="0" applyAlignment="1" applyFont="1" applyNumberFormat="1">
      <alignment horizontal="center"/>
    </xf>
    <xf borderId="0" fillId="3" fontId="1" numFmtId="9" xfId="0" applyAlignment="1" applyFont="1" applyNumberFormat="1">
      <alignment horizontal="center"/>
    </xf>
    <xf borderId="0" fillId="4" fontId="1" numFmtId="9" xfId="0" applyAlignment="1" applyFont="1" applyNumberFormat="1">
      <alignment horizontal="center"/>
    </xf>
    <xf borderId="0" fillId="2" fontId="1" numFmtId="0" xfId="0" applyAlignment="1" applyFont="1">
      <alignment horizontal="center"/>
    </xf>
    <xf borderId="0" fillId="0" fontId="3" numFmtId="0" xfId="0" applyFont="1"/>
    <xf borderId="0" fillId="0" fontId="1" numFmtId="0" xfId="0" applyFont="1"/>
    <xf borderId="0" fillId="5" fontId="1" numFmtId="0" xfId="0" applyFill="1" applyFont="1"/>
    <xf borderId="0" fillId="5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4" numFmtId="0" xfId="0" applyFont="1"/>
    <xf borderId="0" fillId="6" fontId="5" numFmtId="0" xfId="0" applyFill="1" applyFont="1"/>
    <xf borderId="0" fillId="0" fontId="6" numFmtId="11" xfId="0" applyAlignment="1" applyFont="1" applyNumberFormat="1">
      <alignment horizontal="center" vertical="bottom"/>
    </xf>
    <xf borderId="0" fillId="0" fontId="6" numFmtId="4" xfId="0" applyAlignment="1" applyFont="1" applyNumberFormat="1">
      <alignment horizontal="center" vertical="bottom"/>
    </xf>
    <xf borderId="0" fillId="0" fontId="6" numFmtId="11" xfId="0" applyAlignment="1" applyFont="1" applyNumberFormat="1">
      <alignment horizontal="center" readingOrder="0" vertical="bottom"/>
    </xf>
    <xf borderId="0" fillId="0" fontId="6" numFmtId="11" xfId="0" applyAlignment="1" applyFont="1" applyNumberFormat="1">
      <alignment vertical="bottom"/>
    </xf>
    <xf borderId="0" fillId="0" fontId="6" numFmtId="165" xfId="0" applyAlignment="1" applyFont="1" applyNumberFormat="1">
      <alignment horizontal="right" vertical="bottom"/>
    </xf>
    <xf borderId="0" fillId="0" fontId="6" numFmtId="166" xfId="0" applyAlignment="1" applyFont="1" applyNumberFormat="1">
      <alignment horizontal="right" vertical="bottom"/>
    </xf>
    <xf borderId="0" fillId="0" fontId="6" numFmtId="165" xfId="0" applyAlignment="1" applyFont="1" applyNumberFormat="1">
      <alignment horizontal="center" vertical="bottom"/>
    </xf>
    <xf borderId="0" fillId="0" fontId="6" numFmtId="166" xfId="0" applyAlignment="1" applyFont="1" applyNumberFormat="1">
      <alignment horizontal="center" readingOrder="0" vertical="bottom"/>
    </xf>
    <xf borderId="0" fillId="0" fontId="6" numFmtId="165" xfId="0" applyAlignment="1" applyFont="1" applyNumberFormat="1">
      <alignment horizontal="center" readingOrder="0" vertical="bottom"/>
    </xf>
    <xf borderId="0" fillId="0" fontId="6" numFmtId="167" xfId="0" applyAlignment="1" applyFont="1" applyNumberFormat="1">
      <alignment horizontal="center" vertical="bottom"/>
    </xf>
    <xf borderId="0" fillId="0" fontId="6" numFmtId="4" xfId="0" applyAlignment="1" applyFont="1" applyNumberFormat="1">
      <alignment horizontal="center" readingOrder="0" vertical="bottom"/>
    </xf>
    <xf borderId="0" fillId="6" fontId="6" numFmtId="168" xfId="0" applyAlignment="1" applyFont="1" applyNumberFormat="1">
      <alignment horizontal="right" vertical="bottom"/>
    </xf>
    <xf borderId="0" fillId="0" fontId="6" numFmtId="169" xfId="0" applyAlignment="1" applyFont="1" applyNumberFormat="1">
      <alignment horizontal="center" vertical="bottom"/>
    </xf>
    <xf borderId="0" fillId="0" fontId="6" numFmtId="170" xfId="0" applyAlignment="1" applyFont="1" applyNumberFormat="1">
      <alignment horizontal="center" vertical="bottom"/>
    </xf>
    <xf borderId="0" fillId="0" fontId="6" numFmtId="171" xfId="0" applyAlignment="1" applyFont="1" applyNumberFormat="1">
      <alignment horizontal="center" vertical="bottom"/>
    </xf>
    <xf borderId="0" fillId="0" fontId="6" numFmtId="172" xfId="0" applyAlignment="1" applyFont="1" applyNumberFormat="1">
      <alignment horizontal="center" vertical="bottom"/>
    </xf>
    <xf borderId="0" fillId="7" fontId="6" numFmtId="11" xfId="0" applyAlignment="1" applyFill="1" applyFont="1" applyNumberFormat="1">
      <alignment horizontal="center" vertical="bottom"/>
    </xf>
    <xf borderId="0" fillId="0" fontId="6" numFmtId="0" xfId="0" applyAlignment="1" applyFont="1">
      <alignment horizontal="center" vertical="bottom"/>
    </xf>
    <xf borderId="0" fillId="7" fontId="1" numFmtId="11" xfId="0" applyAlignment="1" applyFont="1" applyNumberFormat="1">
      <alignment vertical="bottom"/>
    </xf>
    <xf borderId="0" fillId="0" fontId="6" numFmtId="11" xfId="0" applyAlignment="1" applyFont="1" applyNumberFormat="1">
      <alignment horizontal="center" shrinkToFit="0" vertical="bottom" wrapText="0"/>
    </xf>
    <xf borderId="0" fillId="6" fontId="6" numFmtId="0" xfId="0" applyAlignment="1" applyFont="1">
      <alignment horizontal="center" shrinkToFit="0" vertical="bottom" wrapText="0"/>
    </xf>
    <xf borderId="0" fillId="7" fontId="6" numFmtId="11" xfId="0" applyAlignment="1" applyFont="1" applyNumberFormat="1">
      <alignment horizontal="right" vertical="bottom"/>
    </xf>
    <xf borderId="0" fillId="0" fontId="7" numFmtId="4" xfId="0" applyAlignment="1" applyFont="1" applyNumberFormat="1">
      <alignment vertical="bottom"/>
    </xf>
    <xf borderId="0" fillId="0" fontId="8" numFmtId="11" xfId="0" applyAlignment="1" applyFont="1" applyNumberFormat="1">
      <alignment vertical="bottom"/>
    </xf>
    <xf borderId="0" fillId="8" fontId="6" numFmtId="11" xfId="0" applyAlignment="1" applyFill="1" applyFont="1" applyNumberFormat="1">
      <alignment vertical="bottom"/>
    </xf>
    <xf borderId="0" fillId="0" fontId="9" numFmtId="0" xfId="0" applyAlignment="1" applyFont="1">
      <alignment readingOrder="0"/>
    </xf>
    <xf borderId="0" fillId="0" fontId="1" numFmtId="9" xfId="0" applyAlignment="1" applyFont="1" applyNumberFormat="1">
      <alignment horizontal="center"/>
    </xf>
    <xf borderId="0" fillId="0" fontId="1" numFmtId="0" xfId="0" applyAlignment="1" applyFont="1">
      <alignment horizontal="center" vertical="bottom"/>
    </xf>
    <xf borderId="0" fillId="0" fontId="1" numFmtId="9" xfId="0" applyAlignment="1" applyFont="1" applyNumberFormat="1">
      <alignment horizontal="center" vertical="bottom"/>
    </xf>
    <xf borderId="0" fillId="0" fontId="2" numFmtId="0" xfId="0" applyAlignment="1" applyFont="1">
      <alignment horizontal="center"/>
    </xf>
    <xf borderId="0" fillId="6" fontId="5" numFmtId="0" xfId="0" applyAlignment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leepfoundation.org/mattress-information/foam-density" TargetMode="External"/><Relationship Id="rId2" Type="http://schemas.openxmlformats.org/officeDocument/2006/relationships/hyperlink" Target="https://www.alibaba.com/showroom/polystyrene-foam-price.html" TargetMode="External"/><Relationship Id="rId3" Type="http://schemas.openxmlformats.org/officeDocument/2006/relationships/hyperlink" Target="https://omnexus.specialchem.com/polymer-properties/properties/density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14.0"/>
    <col customWidth="1" min="3" max="3" width="16.14"/>
    <col customWidth="1" min="4" max="4" width="15.71"/>
    <col customWidth="1" min="5" max="5" width="16.14"/>
    <col customWidth="1" min="6" max="6" width="14.86"/>
    <col customWidth="1" min="8" max="8" width="20.29"/>
    <col customWidth="1" min="10" max="10" width="17.14"/>
  </cols>
  <sheetData>
    <row r="1" ht="15.75" customHeight="1">
      <c r="A1" s="1" t="s">
        <v>0</v>
      </c>
      <c r="J1" s="1"/>
    </row>
    <row r="2" ht="15.75" customHeight="1">
      <c r="A2" s="2">
        <v>1.0</v>
      </c>
      <c r="C2" s="3">
        <v>2.0</v>
      </c>
      <c r="E2" s="4">
        <v>3.0</v>
      </c>
    </row>
    <row r="3" ht="15.75" customHeight="1">
      <c r="A3" s="5">
        <v>1.0</v>
      </c>
      <c r="C3" s="6">
        <v>1.0</v>
      </c>
      <c r="E3" s="7">
        <v>1.0</v>
      </c>
    </row>
    <row r="4" ht="15.75" customHeight="1">
      <c r="A4" s="8" t="s">
        <v>1</v>
      </c>
      <c r="B4" s="8">
        <v>3000.0</v>
      </c>
      <c r="C4" s="3" t="s">
        <v>1</v>
      </c>
      <c r="D4" s="3">
        <v>1600.0</v>
      </c>
      <c r="E4" s="4" t="s">
        <v>1</v>
      </c>
      <c r="F4" s="4">
        <v>2200.0</v>
      </c>
    </row>
    <row r="5" ht="15.75" customHeight="1">
      <c r="A5" s="8" t="s">
        <v>2</v>
      </c>
      <c r="B5" s="8">
        <v>55.0</v>
      </c>
      <c r="C5" s="3" t="s">
        <v>2</v>
      </c>
      <c r="D5" s="3">
        <v>40.0</v>
      </c>
      <c r="E5" s="4" t="s">
        <v>2</v>
      </c>
      <c r="F5" s="4">
        <v>48.0</v>
      </c>
    </row>
    <row r="6" ht="15.75" customHeight="1">
      <c r="A6" s="8" t="s">
        <v>3</v>
      </c>
      <c r="B6" s="8">
        <v>2.3</v>
      </c>
      <c r="C6" s="3" t="s">
        <v>3</v>
      </c>
      <c r="D6" s="3">
        <v>2.2</v>
      </c>
      <c r="E6" s="4" t="s">
        <v>3</v>
      </c>
      <c r="F6" s="4">
        <v>2.4</v>
      </c>
    </row>
    <row r="7" ht="15.75" customHeight="1">
      <c r="A7" s="8" t="s">
        <v>4</v>
      </c>
      <c r="B7" s="8">
        <v>6.0</v>
      </c>
      <c r="C7" s="3" t="s">
        <v>5</v>
      </c>
      <c r="D7" s="3">
        <v>5.0</v>
      </c>
      <c r="E7" s="4" t="s">
        <v>5</v>
      </c>
      <c r="F7" s="4">
        <v>5.0</v>
      </c>
    </row>
    <row r="8" ht="15.75" customHeight="1">
      <c r="A8" s="8" t="s">
        <v>6</v>
      </c>
      <c r="B8" s="8">
        <f>35+3.2</f>
        <v>38.2</v>
      </c>
      <c r="C8" s="3" t="s">
        <v>6</v>
      </c>
      <c r="D8" s="3">
        <v>38.0</v>
      </c>
      <c r="E8" s="4" t="s">
        <v>6</v>
      </c>
      <c r="F8" s="4">
        <v>37.8</v>
      </c>
    </row>
    <row r="9" ht="15.75" customHeight="1">
      <c r="A9" s="5">
        <v>0.75</v>
      </c>
      <c r="C9" s="6">
        <v>0.75</v>
      </c>
      <c r="E9" s="7">
        <v>0.75</v>
      </c>
      <c r="G9" s="1"/>
    </row>
    <row r="10" ht="15.75" customHeight="1">
      <c r="A10" s="8" t="s">
        <v>1</v>
      </c>
      <c r="B10" s="8">
        <v>2250.0</v>
      </c>
      <c r="C10" s="3" t="s">
        <v>1</v>
      </c>
      <c r="D10" s="3">
        <v>1200.0</v>
      </c>
      <c r="E10" s="4" t="s">
        <v>1</v>
      </c>
      <c r="F10" s="4">
        <v>1650.0</v>
      </c>
      <c r="G10" s="1"/>
      <c r="H10" s="1"/>
      <c r="I10" s="1"/>
      <c r="J10" s="1"/>
    </row>
    <row r="11" ht="15.75" customHeight="1">
      <c r="A11" s="8" t="s">
        <v>2</v>
      </c>
      <c r="B11" s="8">
        <v>30.0</v>
      </c>
      <c r="C11" s="3" t="s">
        <v>2</v>
      </c>
      <c r="D11" s="3">
        <v>20.0</v>
      </c>
      <c r="E11" s="4" t="s">
        <v>2</v>
      </c>
      <c r="F11" s="4">
        <v>25.0</v>
      </c>
      <c r="G11" s="1"/>
      <c r="H11" s="1"/>
      <c r="I11" s="1"/>
      <c r="J11" s="1"/>
    </row>
    <row r="12" ht="15.75" customHeight="1">
      <c r="A12" s="8" t="s">
        <v>3</v>
      </c>
      <c r="B12" s="8">
        <v>2.8</v>
      </c>
      <c r="C12" s="3" t="s">
        <v>3</v>
      </c>
      <c r="D12" s="3">
        <v>2.6</v>
      </c>
      <c r="E12" s="4" t="s">
        <v>3</v>
      </c>
      <c r="F12" s="4">
        <v>2.8</v>
      </c>
      <c r="G12" s="1"/>
      <c r="H12" s="1"/>
      <c r="I12" s="1"/>
      <c r="J12" s="1"/>
    </row>
    <row r="13" ht="15.75" customHeight="1">
      <c r="A13" s="8" t="s">
        <v>4</v>
      </c>
      <c r="B13" s="8">
        <v>6.0</v>
      </c>
      <c r="C13" s="3" t="s">
        <v>5</v>
      </c>
      <c r="D13" s="3">
        <v>5.0</v>
      </c>
      <c r="E13" s="4" t="s">
        <v>5</v>
      </c>
      <c r="F13" s="4">
        <v>5.0</v>
      </c>
      <c r="G13" s="1"/>
      <c r="H13" s="1"/>
      <c r="I13" s="1"/>
      <c r="J13" s="1"/>
    </row>
    <row r="14" ht="15.75" customHeight="1">
      <c r="A14" s="8" t="s">
        <v>6</v>
      </c>
      <c r="B14" s="8">
        <f>35+3.2</f>
        <v>38.2</v>
      </c>
      <c r="C14" s="3" t="s">
        <v>6</v>
      </c>
      <c r="D14" s="3">
        <v>38.0</v>
      </c>
      <c r="E14" s="4" t="s">
        <v>6</v>
      </c>
      <c r="F14" s="4">
        <v>37.8</v>
      </c>
    </row>
    <row r="15" ht="15.75" customHeight="1">
      <c r="A15" s="5">
        <v>0.5</v>
      </c>
      <c r="C15" s="6">
        <v>0.5</v>
      </c>
      <c r="E15" s="7">
        <v>0.5</v>
      </c>
    </row>
    <row r="16" ht="15.75" customHeight="1">
      <c r="A16" s="8" t="s">
        <v>1</v>
      </c>
      <c r="B16" s="8">
        <v>1000.0</v>
      </c>
      <c r="C16" s="3" t="s">
        <v>1</v>
      </c>
      <c r="D16" s="3">
        <v>500.0</v>
      </c>
      <c r="E16" s="4" t="s">
        <v>1</v>
      </c>
      <c r="F16" s="4">
        <v>900.0</v>
      </c>
    </row>
    <row r="17" ht="15.75" customHeight="1">
      <c r="A17" s="8" t="s">
        <v>2</v>
      </c>
      <c r="B17" s="8">
        <v>12.0</v>
      </c>
      <c r="C17" s="3" t="s">
        <v>2</v>
      </c>
      <c r="D17" s="3">
        <v>8.0</v>
      </c>
      <c r="E17" s="4" t="s">
        <v>2</v>
      </c>
      <c r="F17" s="4">
        <v>10.0</v>
      </c>
    </row>
    <row r="18" ht="15.75" customHeight="1">
      <c r="A18" s="8" t="s">
        <v>3</v>
      </c>
      <c r="B18" s="8">
        <v>3.4</v>
      </c>
      <c r="C18" s="3" t="s">
        <v>3</v>
      </c>
      <c r="D18" s="3">
        <v>3.3</v>
      </c>
      <c r="E18" s="4" t="s">
        <v>3</v>
      </c>
      <c r="F18" s="4">
        <v>3.3</v>
      </c>
    </row>
    <row r="19" ht="15.75" customHeight="1">
      <c r="A19" s="8" t="s">
        <v>4</v>
      </c>
      <c r="B19" s="8">
        <v>6.0</v>
      </c>
      <c r="C19" s="3" t="s">
        <v>5</v>
      </c>
      <c r="D19" s="3">
        <v>5.0</v>
      </c>
      <c r="E19" s="4" t="s">
        <v>5</v>
      </c>
      <c r="F19" s="4">
        <v>5.0</v>
      </c>
    </row>
    <row r="20" ht="15.75" customHeight="1">
      <c r="A20" s="8" t="s">
        <v>6</v>
      </c>
      <c r="B20" s="8">
        <f>35+3.2</f>
        <v>38.2</v>
      </c>
      <c r="C20" s="3" t="s">
        <v>6</v>
      </c>
      <c r="D20" s="3">
        <v>38.0</v>
      </c>
      <c r="E20" s="4" t="s">
        <v>6</v>
      </c>
      <c r="F20" s="4">
        <v>37.8</v>
      </c>
    </row>
    <row r="21" ht="15.75" customHeight="1">
      <c r="A21" s="8"/>
      <c r="B21" s="8"/>
      <c r="C21" s="3"/>
      <c r="D21" s="3"/>
      <c r="E21" s="4"/>
      <c r="F21" s="4"/>
    </row>
    <row r="22" ht="15.75" customHeight="1">
      <c r="A22" s="1" t="s">
        <v>7</v>
      </c>
    </row>
    <row r="23" ht="15.75" customHeight="1">
      <c r="A23" s="8" t="s">
        <v>8</v>
      </c>
      <c r="C23" s="3" t="s">
        <v>9</v>
      </c>
      <c r="E23" s="4" t="s">
        <v>10</v>
      </c>
    </row>
    <row r="24" ht="15.75" customHeight="1">
      <c r="A24" s="8" t="s">
        <v>11</v>
      </c>
      <c r="B24" s="8">
        <v>15000.0</v>
      </c>
      <c r="C24" s="3" t="s">
        <v>11</v>
      </c>
      <c r="D24" s="3">
        <v>8000.0</v>
      </c>
      <c r="E24" s="4" t="s">
        <v>11</v>
      </c>
      <c r="F24" s="4">
        <v>12000.0</v>
      </c>
    </row>
    <row r="25" ht="15.75" customHeight="1">
      <c r="A25" s="8" t="s">
        <v>6</v>
      </c>
      <c r="B25" s="8">
        <v>315.0</v>
      </c>
      <c r="C25" s="3" t="s">
        <v>6</v>
      </c>
      <c r="D25" s="3">
        <v>148.0</v>
      </c>
      <c r="E25" s="4" t="s">
        <v>6</v>
      </c>
      <c r="F25" s="4">
        <v>250.0</v>
      </c>
    </row>
    <row r="26" ht="15.75" customHeight="1">
      <c r="A26" s="8" t="s">
        <v>12</v>
      </c>
      <c r="B26" s="8">
        <v>15.2</v>
      </c>
      <c r="C26" s="3" t="s">
        <v>12</v>
      </c>
      <c r="D26" s="3">
        <v>7.4</v>
      </c>
      <c r="E26" s="4" t="s">
        <v>12</v>
      </c>
      <c r="F26" s="4">
        <v>22.2</v>
      </c>
    </row>
    <row r="27" ht="15.75" customHeight="1"/>
    <row r="28" ht="15.75" customHeight="1">
      <c r="H28" s="9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A1:F1"/>
    <mergeCell ref="A2:B2"/>
    <mergeCell ref="C2:D2"/>
    <mergeCell ref="E2:F2"/>
    <mergeCell ref="A3:B3"/>
    <mergeCell ref="C3:D3"/>
    <mergeCell ref="E3:F3"/>
    <mergeCell ref="A23:B23"/>
    <mergeCell ref="C23:D23"/>
    <mergeCell ref="E23:F23"/>
    <mergeCell ref="A9:B9"/>
    <mergeCell ref="C9:D9"/>
    <mergeCell ref="E9:F9"/>
    <mergeCell ref="A15:B15"/>
    <mergeCell ref="C15:D15"/>
    <mergeCell ref="E15:F15"/>
    <mergeCell ref="A22:F2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43"/>
    <col customWidth="1" min="2" max="2" width="17.71"/>
    <col customWidth="1" min="3" max="3" width="13.71"/>
    <col customWidth="1" min="4" max="4" width="12.43"/>
    <col customWidth="1" min="5" max="5" width="13.71"/>
    <col customWidth="1" min="6" max="6" width="14.43"/>
  </cols>
  <sheetData>
    <row r="1" ht="15.75" customHeight="1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</row>
    <row r="2" ht="15.75" customHeight="1">
      <c r="A2" s="11">
        <v>1.0</v>
      </c>
      <c r="B2" s="12">
        <v>8.0</v>
      </c>
      <c r="C2" s="11" t="s">
        <v>8</v>
      </c>
      <c r="D2" s="12">
        <v>4.0</v>
      </c>
      <c r="E2" s="12">
        <f>5.65/4</f>
        <v>1.4125</v>
      </c>
      <c r="F2" s="10" t="s">
        <v>18</v>
      </c>
    </row>
    <row r="3" ht="15.75" customHeight="1"/>
    <row r="4" ht="15.75" customHeight="1">
      <c r="A4" s="10" t="s">
        <v>19</v>
      </c>
      <c r="B4" s="10" t="s">
        <v>20</v>
      </c>
      <c r="C4" s="10" t="s">
        <v>21</v>
      </c>
      <c r="D4" s="10" t="s">
        <v>22</v>
      </c>
    </row>
    <row r="5" ht="15.75" customHeight="1">
      <c r="A5" s="10">
        <f>A8/B2*2*1.2</f>
        <v>1164.03</v>
      </c>
      <c r="B5" s="10">
        <f>Sheet4!B19</f>
        <v>2250</v>
      </c>
      <c r="C5" s="10" t="str">
        <f>IF(B5&gt;A5,"Yes","No")</f>
        <v>Yes</v>
      </c>
      <c r="D5" s="10" t="str">
        <f>IF(Sheet4!E1="3","50%",IF(Sheet4!E1="2","75%",IF(Sheet4!E1="1","100%","")))</f>
        <v>75%</v>
      </c>
    </row>
    <row r="6" ht="15.75" customHeight="1"/>
    <row r="7" ht="15.75" customHeight="1">
      <c r="A7" s="10" t="s">
        <v>23</v>
      </c>
      <c r="B7" s="10" t="s">
        <v>24</v>
      </c>
      <c r="C7" s="10" t="s">
        <v>25</v>
      </c>
      <c r="I7" s="10" t="str">
        <f>IF($A$2="King Kong 6x4",Options!B9,IF($A$2="Lumenier Buttercutter 5x5x3",Options!D9,IF($A$2="HQ v1s 5x4x3",Options!F9,"")))</f>
        <v/>
      </c>
    </row>
    <row r="8" ht="15.75" customHeight="1">
      <c r="A8" s="10">
        <f>Sheet4!D3*D2+Sheet4!B22*B2+E2*1000+902</f>
        <v>3880.1</v>
      </c>
      <c r="B8" s="10">
        <f>A5/Sheet4!C15*B2</f>
        <v>124.1632</v>
      </c>
      <c r="C8" s="10">
        <f>Sheet4!D2*D2*0.8</f>
        <v>48000</v>
      </c>
      <c r="D8" s="13"/>
    </row>
    <row r="9" ht="15.75" customHeight="1"/>
    <row r="10" ht="15.75" customHeight="1">
      <c r="A10" s="10" t="s">
        <v>26</v>
      </c>
    </row>
    <row r="11" ht="15.75" customHeight="1">
      <c r="A11" s="14">
        <f>IFERROR(C8/1000/B8*60,"")</f>
        <v>23.19527847</v>
      </c>
    </row>
    <row r="12" ht="15.75" customHeight="1"/>
    <row r="13" ht="15.75" customHeight="1">
      <c r="F13" s="15"/>
    </row>
    <row r="14" ht="15.75" customHeight="1"/>
    <row r="15" ht="15.75" customHeight="1"/>
    <row r="16" ht="15.75" customHeight="1">
      <c r="G16" s="16"/>
    </row>
    <row r="17" ht="15.75" customHeight="1">
      <c r="G17" s="16"/>
    </row>
    <row r="18" ht="15.75" customHeight="1">
      <c r="G18" s="16"/>
    </row>
    <row r="19" ht="15.75" customHeight="1">
      <c r="G19" s="16"/>
    </row>
    <row r="20" ht="15.75" customHeight="1">
      <c r="G20" s="16"/>
    </row>
    <row r="21" ht="15.75" customHeight="1">
      <c r="G21" s="16"/>
    </row>
    <row r="22" ht="15.75" customHeight="1">
      <c r="G22" s="16"/>
    </row>
    <row r="23" ht="15.75" customHeight="1">
      <c r="G23" s="16"/>
    </row>
    <row r="24" ht="15.75" customHeight="1">
      <c r="G24" s="16"/>
    </row>
    <row r="25" ht="15.75" customHeight="1">
      <c r="G25" s="16"/>
    </row>
    <row r="26" ht="15.75" customHeight="1"/>
    <row r="27" ht="15.75" customHeight="1">
      <c r="G27" s="16"/>
    </row>
    <row r="28" ht="15.75" customHeight="1">
      <c r="F28" s="1"/>
      <c r="G28" s="1"/>
    </row>
    <row r="29" ht="15.75" customHeight="1">
      <c r="H29" s="10" t="str">
        <f>IF($A$2=Sheet4!$C$7,Options!B30,IF($A$2=Sheet4!$C$8,Options!D30,IF($A$2=Sheet4!$C$9,Options!F30,"")))</f>
        <v/>
      </c>
    </row>
    <row r="30" ht="15.75" customHeight="1">
      <c r="H30" s="10" t="str">
        <f>IF($A$2=Sheet4!$C$7,Options!B32,IF($A$2=Sheet4!$C$8,Options!D32,IF($A$2=Sheet4!$C$9,Options!F32,"")))</f>
        <v/>
      </c>
    </row>
    <row r="31" ht="15.75" customHeight="1">
      <c r="H31" s="10" t="str">
        <f>IF($A$2=Sheet4!$C$7,Options!B32,IF($A$2=Sheet4!$C$8,Options!D32,IF($A$2=Sheet4!$C$9,Options!F32,"")))</f>
        <v/>
      </c>
    </row>
    <row r="32" ht="15.75" customHeight="1">
      <c r="H32" s="10" t="str">
        <f>IF($A$2=Sheet4!$C$7,Options!B33,IF($A$2=Sheet4!$C$8,Options!D33,IF($A$2=Sheet4!$C$9,Options!F33,"")))</f>
        <v/>
      </c>
    </row>
    <row r="33" ht="15.75" customHeight="1">
      <c r="H33" s="10" t="str">
        <f>IF($A$2=Sheet4!$C$7,Options!B34,IF($A$2=Sheet4!$C$8,Options!D34,IF($A$2=Sheet4!$C$9,Options!F34,"")))</f>
        <v/>
      </c>
    </row>
    <row r="34" ht="15.75" customHeight="1">
      <c r="I34" s="10" t="str">
        <f>IF($A$2=Sheet4!$C$7,Options!B21,IF($A$2=Sheet4!$C$8,Options!D21,IF($A$2=Sheet4!$C$9,Options!F21,"")))</f>
        <v/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5">
    <cfRule type="cellIs" dxfId="0" priority="1" operator="equal">
      <formula>"Yes"</formula>
    </cfRule>
  </conditionalFormatting>
  <conditionalFormatting sqref="C5">
    <cfRule type="cellIs" dxfId="1" priority="2" operator="equal">
      <formula>"No"</formula>
    </cfRule>
  </conditionalFormatting>
  <dataValidations>
    <dataValidation type="list" allowBlank="1" showErrorMessage="1" sqref="A2">
      <formula1>Sheet4!$C$7:$C$9</formula1>
    </dataValidation>
    <dataValidation type="list" allowBlank="1" sqref="C2">
      <formula1>Sheet4!$C$10:$C$12</formula1>
    </dataValidation>
    <dataValidation type="list" allowBlank="1" sqref="B2">
      <formula1>"3.0,4.0,6.0,8.0"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7" t="s">
        <v>27</v>
      </c>
      <c r="B1" s="17" t="s">
        <v>28</v>
      </c>
      <c r="C1" s="17" t="s">
        <v>29</v>
      </c>
      <c r="D1" s="17"/>
      <c r="E1" s="17" t="s">
        <v>30</v>
      </c>
      <c r="F1" s="17" t="s">
        <v>31</v>
      </c>
      <c r="G1" s="17" t="s">
        <v>32</v>
      </c>
      <c r="H1" s="17"/>
      <c r="I1" s="17" t="s">
        <v>33</v>
      </c>
      <c r="J1" s="17" t="s">
        <v>34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</row>
    <row r="2">
      <c r="A2" s="18">
        <f>0.038*4</f>
        <v>0.152</v>
      </c>
      <c r="B2" s="18">
        <f>0.874^2*PI()*0.003*900</f>
        <v>6.479425521</v>
      </c>
      <c r="C2" s="18">
        <f>0.88^2*PI()*0.003*900</f>
        <v>6.568693248</v>
      </c>
      <c r="D2" s="18"/>
      <c r="E2" s="18">
        <v>0.91</v>
      </c>
      <c r="F2" s="18">
        <v>0.8</v>
      </c>
      <c r="G2" s="18">
        <f>A2+B2+C2+E2+F2</f>
        <v>14.91011877</v>
      </c>
      <c r="H2" s="17"/>
      <c r="I2" s="18">
        <v>2.3</v>
      </c>
      <c r="J2" s="18">
        <f>1/3*12/0.8*5500</f>
        <v>27500</v>
      </c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</row>
    <row r="4">
      <c r="A4" s="17" t="s">
        <v>35</v>
      </c>
      <c r="B4" s="17"/>
      <c r="C4" s="17"/>
      <c r="D4" s="17"/>
      <c r="E4" s="17" t="s">
        <v>36</v>
      </c>
      <c r="H4" s="17"/>
      <c r="I4" s="17"/>
      <c r="J4" s="17" t="s">
        <v>37</v>
      </c>
      <c r="K4" s="17"/>
      <c r="L4" s="17"/>
      <c r="M4" s="17" t="s">
        <v>38</v>
      </c>
      <c r="P4" s="17"/>
      <c r="Q4" s="17"/>
      <c r="R4" s="19" t="s">
        <v>39</v>
      </c>
      <c r="AB4" s="17"/>
      <c r="AC4" s="17" t="s">
        <v>40</v>
      </c>
      <c r="AD4" s="17"/>
      <c r="AE4" s="17" t="s">
        <v>27</v>
      </c>
      <c r="AF4" s="17"/>
      <c r="AG4" s="17" t="s">
        <v>41</v>
      </c>
      <c r="AH4" s="17"/>
      <c r="AI4" s="17" t="s">
        <v>42</v>
      </c>
      <c r="AJ4" s="17"/>
      <c r="AK4" s="17" t="s">
        <v>43</v>
      </c>
    </row>
    <row r="5">
      <c r="A5" s="20" t="s">
        <v>44</v>
      </c>
      <c r="B5" s="20" t="s">
        <v>45</v>
      </c>
      <c r="C5" s="17" t="s">
        <v>46</v>
      </c>
      <c r="D5" s="17"/>
      <c r="E5" s="17" t="s">
        <v>44</v>
      </c>
      <c r="F5" s="17" t="s">
        <v>45</v>
      </c>
      <c r="G5" s="17" t="s">
        <v>46</v>
      </c>
      <c r="H5" s="17"/>
      <c r="I5" s="17"/>
      <c r="J5" s="17" t="s">
        <v>47</v>
      </c>
      <c r="K5" s="17"/>
      <c r="L5" s="17"/>
      <c r="M5" s="17" t="s">
        <v>44</v>
      </c>
      <c r="N5" s="17" t="s">
        <v>45</v>
      </c>
      <c r="O5" s="17" t="s">
        <v>46</v>
      </c>
      <c r="P5" s="17"/>
      <c r="Q5" s="17"/>
      <c r="R5" s="18" t="s">
        <v>44</v>
      </c>
      <c r="S5" s="18" t="s">
        <v>45</v>
      </c>
      <c r="T5" s="18" t="s">
        <v>48</v>
      </c>
      <c r="U5" s="18" t="s">
        <v>49</v>
      </c>
      <c r="V5" s="18" t="s">
        <v>48</v>
      </c>
      <c r="W5" s="18" t="s">
        <v>45</v>
      </c>
      <c r="X5" s="18" t="s">
        <v>46</v>
      </c>
      <c r="Y5" s="18"/>
      <c r="Z5" s="18" t="s">
        <v>50</v>
      </c>
      <c r="AA5" s="18" t="s">
        <v>45</v>
      </c>
      <c r="AB5" s="18"/>
      <c r="AC5" s="18" t="s">
        <v>32</v>
      </c>
      <c r="AD5" s="18"/>
      <c r="AE5" s="18" t="s">
        <v>32</v>
      </c>
      <c r="AF5" s="18"/>
      <c r="AG5" s="18" t="s">
        <v>51</v>
      </c>
      <c r="AH5" s="18"/>
      <c r="AI5" s="18" t="s">
        <v>51</v>
      </c>
      <c r="AJ5" s="18"/>
      <c r="AK5" s="18" t="s">
        <v>51</v>
      </c>
    </row>
    <row r="6">
      <c r="A6" s="21">
        <f>C6-2*B6</f>
        <v>0.849</v>
      </c>
      <c r="B6" s="22">
        <f>0.001</f>
        <v>0.001</v>
      </c>
      <c r="C6" s="23">
        <f>425.5*2/1000</f>
        <v>0.851</v>
      </c>
      <c r="D6" s="17"/>
      <c r="E6" s="23">
        <f>G6-F6*2</f>
        <v>0.87</v>
      </c>
      <c r="F6" s="24">
        <v>0.001</v>
      </c>
      <c r="G6" s="25">
        <v>0.872</v>
      </c>
      <c r="H6" s="18"/>
      <c r="I6" s="17"/>
      <c r="J6" s="18">
        <v>0.01</v>
      </c>
      <c r="K6" s="17"/>
      <c r="L6" s="17"/>
      <c r="M6" s="23">
        <f>G6+J6</f>
        <v>0.882</v>
      </c>
      <c r="N6" s="25">
        <v>0.003</v>
      </c>
      <c r="O6" s="23">
        <f>M6+N6*2</f>
        <v>0.888</v>
      </c>
      <c r="P6" s="17"/>
      <c r="Q6" s="17"/>
      <c r="R6" s="23">
        <f>0.948</f>
        <v>0.948</v>
      </c>
      <c r="S6" s="25">
        <v>0.004</v>
      </c>
      <c r="T6" s="23">
        <f>R6+S6</f>
        <v>0.952</v>
      </c>
      <c r="U6" s="26">
        <f>(V6-T6)/2</f>
        <v>0.094</v>
      </c>
      <c r="V6" s="27">
        <f>1.14</f>
        <v>1.14</v>
      </c>
      <c r="W6" s="25">
        <v>0.004</v>
      </c>
      <c r="X6" s="23">
        <f>1.148</f>
        <v>1.148</v>
      </c>
      <c r="Y6" s="18"/>
      <c r="Z6" s="27">
        <v>0.08</v>
      </c>
      <c r="AA6" s="25">
        <v>0.004</v>
      </c>
      <c r="AB6" s="18"/>
      <c r="AC6" s="18">
        <v>0.63</v>
      </c>
      <c r="AD6" s="18"/>
      <c r="AE6" s="18">
        <f>0.0382*6</f>
        <v>0.2292</v>
      </c>
      <c r="AF6" s="18"/>
      <c r="AG6" s="17">
        <f>0.02*0.02*0.01+0.045*0.025*0.005-0.01*0.02*0.005</f>
        <v>0.000008625</v>
      </c>
      <c r="AH6" s="17"/>
      <c r="AI6" s="17">
        <f>0.02*0.02*0.002*2+PI()*0.004^2*0.002</f>
        <v>0.000001700530965</v>
      </c>
      <c r="AJ6" s="17"/>
      <c r="AK6" s="17">
        <f>4/3*(0.33/2)^3*PI()*3/2</f>
        <v>0.0282248538</v>
      </c>
    </row>
    <row r="7">
      <c r="A7" s="17" t="s">
        <v>51</v>
      </c>
      <c r="B7" s="17" t="s">
        <v>32</v>
      </c>
      <c r="C7" s="17" t="s">
        <v>52</v>
      </c>
      <c r="D7" s="17"/>
      <c r="E7" s="18" t="s">
        <v>53</v>
      </c>
      <c r="F7" s="18"/>
      <c r="G7" s="18" t="s">
        <v>54</v>
      </c>
      <c r="H7" s="18" t="s">
        <v>32</v>
      </c>
      <c r="I7" s="17"/>
      <c r="J7" s="17" t="s">
        <v>51</v>
      </c>
      <c r="K7" s="17" t="s">
        <v>32</v>
      </c>
      <c r="L7" s="17"/>
      <c r="M7" s="18" t="s">
        <v>51</v>
      </c>
      <c r="N7" s="25">
        <v>0.001</v>
      </c>
      <c r="O7" s="18" t="s">
        <v>32</v>
      </c>
      <c r="P7" s="17"/>
      <c r="Q7" s="17"/>
      <c r="R7" s="18" t="s">
        <v>51</v>
      </c>
      <c r="S7" s="18" t="s">
        <v>32</v>
      </c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 t="s">
        <v>52</v>
      </c>
      <c r="AH7" s="18"/>
      <c r="AI7" s="18"/>
      <c r="AJ7" s="18"/>
      <c r="AK7" s="18" t="s">
        <v>32</v>
      </c>
    </row>
    <row r="8">
      <c r="A8" s="28">
        <f>1/3*PI()*(1.5*A6+0.25-A6/2)*(A6/2-0.25)^2/(4/3*PI()*(A6/2)^3)*4*PI()*(A6/2)^2*B6</f>
        <v>0.0002476627741</v>
      </c>
      <c r="B8" s="29">
        <f>A8*850</f>
        <v>0.210513358</v>
      </c>
      <c r="C8" s="18">
        <f>B8*1.3</f>
        <v>0.2736673653</v>
      </c>
      <c r="D8" s="17"/>
      <c r="E8" s="30">
        <f>4/3*PI()/2*((G6/2)^3-(E6/2)^3)/2</f>
        <v>0.0005958355099</v>
      </c>
      <c r="F8" s="18"/>
      <c r="G8" s="30">
        <f>PI()*2*0.25*0.002*0.25*0.7-J6^2*PI()*42*0.002+E8</f>
        <v>0.001119224846</v>
      </c>
      <c r="H8" s="18">
        <f>G8*850</f>
        <v>0.9513411191</v>
      </c>
      <c r="I8" s="17"/>
      <c r="J8" s="17">
        <f>4/3*PI()*J6^3/8</f>
        <v>0.0000005235987756</v>
      </c>
      <c r="K8" s="18">
        <f>J8*7850*42</f>
        <v>0.1726305163</v>
      </c>
      <c r="L8" s="17"/>
      <c r="M8" s="31">
        <f>4/3*PI()*(O6^3-M6^3)/8/2-(0.33/2)^2*PI()*0.003</f>
        <v>0.003434285416</v>
      </c>
      <c r="N8" s="18"/>
      <c r="O8" s="18">
        <f>M8*850</f>
        <v>2.919142604</v>
      </c>
      <c r="P8" s="17"/>
      <c r="Q8" s="17"/>
      <c r="R8" s="32">
        <f>-((R6-X6)*Z6/2-(T6-V6)/2*(Z6-2*AA6))*PI()*(R6/2)^2</f>
        <v>0.0008695954603</v>
      </c>
      <c r="S8" s="18">
        <f>R8*1150</f>
        <v>1.000034779</v>
      </c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23">
        <f>AK6*1.6*16</f>
        <v>0.7225562572</v>
      </c>
    </row>
    <row r="9">
      <c r="A9" s="20"/>
      <c r="B9" s="33" t="s">
        <v>55</v>
      </c>
      <c r="C9" s="17"/>
      <c r="D9" s="17"/>
      <c r="E9" s="18"/>
      <c r="F9" s="18"/>
      <c r="G9" s="18"/>
      <c r="H9" s="18" t="s">
        <v>52</v>
      </c>
      <c r="I9" s="17"/>
      <c r="J9" s="17"/>
      <c r="K9" s="18" t="s">
        <v>52</v>
      </c>
      <c r="L9" s="17"/>
      <c r="M9" s="18"/>
      <c r="N9" s="18"/>
      <c r="O9" s="18" t="s">
        <v>52</v>
      </c>
      <c r="P9" s="17"/>
      <c r="Q9" s="17"/>
      <c r="R9" s="18"/>
      <c r="S9" s="18" t="s">
        <v>52</v>
      </c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34" t="s">
        <v>52</v>
      </c>
    </row>
    <row r="10">
      <c r="A10" s="17"/>
      <c r="B10" s="33" t="s">
        <v>56</v>
      </c>
      <c r="C10" s="17"/>
      <c r="D10" s="17"/>
      <c r="E10" s="18"/>
      <c r="F10" s="18"/>
      <c r="G10" s="18"/>
      <c r="H10" s="18">
        <f>H8*1.3</f>
        <v>1.236743455</v>
      </c>
      <c r="I10" s="17"/>
      <c r="J10" s="17"/>
      <c r="K10" s="18">
        <f>K8*0.55</f>
        <v>0.09494678397</v>
      </c>
      <c r="L10" s="17"/>
      <c r="M10" s="18"/>
      <c r="N10" s="18"/>
      <c r="O10" s="18">
        <f>O8*1.3</f>
        <v>3.794885385</v>
      </c>
      <c r="P10" s="17"/>
      <c r="Q10" s="17"/>
      <c r="R10" s="18"/>
      <c r="S10" s="18">
        <f>S8*15</f>
        <v>15.00052169</v>
      </c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>
        <f>AK8*1.5</f>
        <v>1.083834386</v>
      </c>
    </row>
    <row r="11">
      <c r="A11" s="17"/>
      <c r="B11" s="3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</row>
    <row r="12">
      <c r="A12" s="17"/>
      <c r="B12" s="35" t="s">
        <v>57</v>
      </c>
      <c r="C12" s="17"/>
      <c r="D12" s="17"/>
      <c r="E12" s="19" t="s">
        <v>58</v>
      </c>
      <c r="F12" s="18" t="s">
        <v>59</v>
      </c>
      <c r="G12" s="17"/>
      <c r="H12" s="17"/>
      <c r="I12" s="36" t="s">
        <v>60</v>
      </c>
      <c r="J12" s="17"/>
      <c r="K12" s="37" t="s">
        <v>61</v>
      </c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</row>
    <row r="13">
      <c r="A13" s="17"/>
      <c r="B13" s="38">
        <f>1/3*PI()*(1.5*E6+0.25-E6/2)*(E6/2-0.25)^2</f>
        <v>0.04014117653</v>
      </c>
      <c r="C13" s="17"/>
      <c r="D13" s="17"/>
      <c r="E13" s="23">
        <f>B8+H8+K8+O8+S8+AK8</f>
        <v>5.976218634</v>
      </c>
      <c r="F13" s="18">
        <f>H8+K8+O8+S8+AC6+AE6+B8+AK8</f>
        <v>6.835418634</v>
      </c>
      <c r="G13" s="17"/>
      <c r="H13" s="17"/>
      <c r="I13" s="17" t="s">
        <v>62</v>
      </c>
      <c r="J13" s="17"/>
      <c r="K13" s="17" t="s">
        <v>63</v>
      </c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39" t="s">
        <v>64</v>
      </c>
    </row>
    <row r="14">
      <c r="A14" s="17"/>
      <c r="B14" s="17"/>
      <c r="C14" s="17"/>
      <c r="D14" s="17"/>
      <c r="E14" s="17"/>
      <c r="F14" s="18" t="s">
        <v>65</v>
      </c>
      <c r="G14" s="17"/>
      <c r="H14" s="17"/>
      <c r="I14" s="18">
        <v>18.0</v>
      </c>
      <c r="J14" s="17"/>
      <c r="K14" s="18">
        <v>30000.0</v>
      </c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40" t="s">
        <v>66</v>
      </c>
    </row>
    <row r="15">
      <c r="A15" s="17"/>
      <c r="B15" s="17"/>
      <c r="C15" s="17"/>
      <c r="D15" s="17"/>
      <c r="E15" s="17"/>
      <c r="F15" s="18">
        <f>H10+K10+O10+S10+C8+AK10</f>
        <v>21.48459907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</row>
    <row r="20">
      <c r="A20" s="17"/>
      <c r="B20" s="41" t="s">
        <v>55</v>
      </c>
      <c r="C20" s="12" t="s">
        <v>67</v>
      </c>
      <c r="D20" s="17"/>
      <c r="E20" s="17"/>
      <c r="F20" s="17" t="s">
        <v>68</v>
      </c>
      <c r="G20" s="17"/>
      <c r="H20" s="20"/>
      <c r="I20" s="36" t="s">
        <v>69</v>
      </c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</row>
    <row r="21">
      <c r="A21" s="17"/>
      <c r="B21" s="17" t="s">
        <v>56</v>
      </c>
      <c r="C21" s="19" t="s">
        <v>70</v>
      </c>
      <c r="D21" s="17"/>
      <c r="E21" s="17"/>
      <c r="F21" s="17" t="s">
        <v>71</v>
      </c>
      <c r="G21" s="17" t="s">
        <v>72</v>
      </c>
      <c r="H21" s="17"/>
      <c r="I21" s="17" t="s">
        <v>73</v>
      </c>
      <c r="J21" s="17" t="s">
        <v>74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</row>
    <row r="22">
      <c r="A22" s="17"/>
      <c r="B22" s="36" t="s">
        <v>75</v>
      </c>
      <c r="C22" s="17"/>
      <c r="D22" s="17"/>
      <c r="E22" s="17"/>
      <c r="F22" s="17"/>
      <c r="G22" s="36" t="s">
        <v>76</v>
      </c>
      <c r="H22" s="17"/>
      <c r="I22" s="17"/>
      <c r="J22" s="36" t="s">
        <v>77</v>
      </c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</row>
    <row r="23">
      <c r="B23" s="42" t="s">
        <v>78</v>
      </c>
    </row>
  </sheetData>
  <mergeCells count="3">
    <mergeCell ref="E4:G4"/>
    <mergeCell ref="M4:O4"/>
    <mergeCell ref="R4:AA4"/>
  </mergeCells>
  <hyperlinks>
    <hyperlink r:id="rId1" ref="AK13"/>
    <hyperlink r:id="rId2" ref="AK14"/>
    <hyperlink r:id="rId3" ref="B23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79</v>
      </c>
      <c r="C1" s="1" t="s">
        <v>80</v>
      </c>
      <c r="E1" s="1" t="str">
        <f>IF(B13&gt;CALCULATOR!A5,"3",IF(B8&gt;CALCULATOR!A5,"2",IF(B2&gt;CALCULATOR!A5,"1","")))</f>
        <v>2</v>
      </c>
    </row>
    <row r="2" ht="15.75" customHeight="1">
      <c r="A2" s="43">
        <v>1.0</v>
      </c>
      <c r="B2" s="1">
        <f>IF(CALCULATOR!$A$2=$C$7,Options!B4,IF(CALCULATOR!$A$2=$C$8,Options!D4,IF(CALCULATOR!$A$2=$C$9,Options!F4,"")))</f>
        <v>3000</v>
      </c>
      <c r="C2" s="1" t="s">
        <v>11</v>
      </c>
      <c r="D2" s="1">
        <f>IF(CALCULATOR!$C$2=$C$10,Options!B24,IF(CALCULATOR!$C$2=$C$11,Options!D24,IF(CALCULATOR!$C$2=$C$12,Options!F24,"")))</f>
        <v>15000</v>
      </c>
    </row>
    <row r="3" ht="15.75" customHeight="1">
      <c r="A3" s="44" t="s">
        <v>1</v>
      </c>
      <c r="B3" s="1">
        <f>IF(CALCULATOR!$A$2=$C$7,Options!B5,IF(CALCULATOR!$A$2=$C$8,Options!D5,IF(CALCULATOR!$A$2=$C$9,Options!F5,"")))</f>
        <v>55</v>
      </c>
      <c r="C3" s="1" t="s">
        <v>6</v>
      </c>
      <c r="D3" s="1">
        <f>IF(CALCULATOR!$C$2=$C$10,Options!B25,IF(CALCULATOR!$C$2=$C$11,Options!D25,IF(CALCULATOR!$C$2=$C$12,Options!F25,"")))</f>
        <v>315</v>
      </c>
    </row>
    <row r="4" ht="15.75" customHeight="1">
      <c r="A4" s="44" t="s">
        <v>2</v>
      </c>
      <c r="B4" s="1">
        <f>IF(CALCULATOR!$A$2=$C$7,Options!B6,IF(CALCULATOR!$A$2=$C$8,Options!D6,IF(CALCULATOR!$A$2=$C$9,Options!F6,"")))</f>
        <v>2.3</v>
      </c>
      <c r="C4" s="1" t="s">
        <v>12</v>
      </c>
      <c r="D4" s="1">
        <f>IF(CALCULATOR!$C$2=$C$10,Options!B26,IF(CALCULATOR!$C$2=$C$11,Options!D26,IF(CALCULATOR!$C$2=$C$12,Options!F26,"")))</f>
        <v>15.2</v>
      </c>
    </row>
    <row r="5" ht="15.75" customHeight="1">
      <c r="A5" s="44" t="s">
        <v>3</v>
      </c>
      <c r="B5" s="1">
        <f>IF(CALCULATOR!$A$2=$C$7,Options!B8,IF(CALCULATOR!$A$2=$C$8,Options!D8,IF(CALCULATOR!$A$2=$C$9,Options!F8,"")))</f>
        <v>38.2</v>
      </c>
      <c r="C5" s="1"/>
      <c r="D5" s="1" t="str">
        <f>IF(CALCULATOR!$C$2="Gens Ace 7500mAh 4S1P",Options!B27,IF(CALCULATOR!$C$2="Gens ace 4000mAh 7.4V 2S1P",Options!D27,IF(CALCULATOR!$C$2="Lectron Pro 22.2V 6500mAh 100C",Options!F27,"")))</f>
        <v/>
      </c>
    </row>
    <row r="6" ht="15.75" customHeight="1">
      <c r="A6" s="44" t="s">
        <v>6</v>
      </c>
      <c r="B6" s="1"/>
      <c r="D6" s="1"/>
    </row>
    <row r="7" ht="15.75" customHeight="1">
      <c r="A7" s="45">
        <v>0.75</v>
      </c>
      <c r="B7" s="1"/>
      <c r="C7" s="46">
        <f>Options!A2</f>
        <v>1</v>
      </c>
      <c r="D7" s="1"/>
    </row>
    <row r="8" ht="15.75" customHeight="1">
      <c r="A8" s="44" t="s">
        <v>1</v>
      </c>
      <c r="B8" s="1">
        <f>IF(CALCULATOR!$A$2=$C$7,Options!B10,IF(CALCULATOR!$A$2=$C$8,Options!D10,IF(CALCULATOR!$A$2=$C$9,Options!F10,"")))</f>
        <v>2250</v>
      </c>
      <c r="C8" s="1">
        <f>Options!C2</f>
        <v>2</v>
      </c>
      <c r="D8" s="1"/>
    </row>
    <row r="9" ht="15.75" customHeight="1">
      <c r="A9" s="44" t="s">
        <v>2</v>
      </c>
      <c r="B9" s="1">
        <f>IF(CALCULATOR!$A$2=$C$7,Options!B11,IF(CALCULATOR!$A$2=$C$8,Options!D11,IF(CALCULATOR!$A$2=$C$9,Options!F11,"")))</f>
        <v>30</v>
      </c>
      <c r="C9" s="1">
        <f>Options!E2</f>
        <v>3</v>
      </c>
      <c r="D9" s="1"/>
    </row>
    <row r="10" ht="15.75" customHeight="1">
      <c r="A10" s="44" t="s">
        <v>3</v>
      </c>
      <c r="B10" s="1">
        <f>IF(CALCULATOR!$A$2=$C$7,Options!B12,IF(CALCULATOR!$A$2=$C$8,Options!D12,IF(CALCULATOR!$A$2=$C$9,Options!F12,"")))</f>
        <v>2.8</v>
      </c>
      <c r="C10" s="1" t="str">
        <f>Options!A23</f>
        <v>15000 mAh</v>
      </c>
      <c r="D10" s="1"/>
    </row>
    <row r="11" ht="15.75" customHeight="1">
      <c r="A11" s="44" t="s">
        <v>6</v>
      </c>
      <c r="B11" s="1">
        <f>IF(CALCULATOR!$A$2=$C$7,Options!B14,IF(CALCULATOR!$A$2=$C$8,Options!D14,IF(CALCULATOR!$A$2=$C$9,Options!F14,"")))</f>
        <v>38.2</v>
      </c>
      <c r="C11" s="1" t="str">
        <f>Options!C23</f>
        <v>8000mAh</v>
      </c>
      <c r="D11" s="1"/>
    </row>
    <row r="12" ht="15.75" customHeight="1">
      <c r="A12" s="45">
        <v>0.5</v>
      </c>
      <c r="C12" s="1" t="str">
        <f>Options!E23</f>
        <v>12000mAh</v>
      </c>
      <c r="D12" s="1"/>
    </row>
    <row r="13" ht="15.75" customHeight="1">
      <c r="A13" s="44" t="s">
        <v>1</v>
      </c>
      <c r="B13" s="1">
        <f>IF(CALCULATOR!$A$2=$C$7,Options!B16,IF(CALCULATOR!$A$2=$C$8,Options!D16,IF(CALCULATOR!$A$2=$C$9,Options!F16,"")))</f>
        <v>1000</v>
      </c>
      <c r="C13" s="1"/>
      <c r="D13" s="1"/>
    </row>
    <row r="14" ht="15.75" customHeight="1">
      <c r="A14" s="44" t="s">
        <v>2</v>
      </c>
      <c r="B14" s="1">
        <f>IF(CALCULATOR!$A$2=$C$7,Options!B17,IF(CALCULATOR!$A$2=$C$8,Options!D17,IF(CALCULATOR!$A$2=$C$9,Options!F17,"")))</f>
        <v>12</v>
      </c>
      <c r="C14" s="1" t="s">
        <v>81</v>
      </c>
      <c r="D14" s="1"/>
    </row>
    <row r="15" ht="15.75" customHeight="1">
      <c r="A15" s="44" t="s">
        <v>3</v>
      </c>
      <c r="B15" s="1">
        <f>IF(CALCULATOR!$A$2=$C$7,Options!B18,IF(CALCULATOR!$A$2=$C$8,Options!D18,IF(CALCULATOR!$A$2=$C$9,Options!F18,"")))</f>
        <v>3.4</v>
      </c>
      <c r="C15" s="1">
        <f>B19/B20</f>
        <v>75</v>
      </c>
      <c r="D15" s="1"/>
    </row>
    <row r="16" ht="15.75" customHeight="1">
      <c r="A16" s="44" t="s">
        <v>6</v>
      </c>
      <c r="B16" s="1">
        <f>IF(CALCULATOR!$A$2=$C$7,Options!B20,IF(CALCULATOR!$A$2=$C$8,Options!D20,IF(CALCULATOR!$A$2=$C$9,Options!F20,"")))</f>
        <v>38.2</v>
      </c>
      <c r="C16" s="1"/>
      <c r="D16" s="1"/>
    </row>
    <row r="17" ht="15.75" customHeight="1">
      <c r="A17" s="44"/>
      <c r="B17" s="1"/>
      <c r="C17" s="1"/>
      <c r="D17" s="1"/>
    </row>
    <row r="18" ht="15.75" customHeight="1">
      <c r="A18" s="44"/>
      <c r="B18" s="1"/>
      <c r="C18" s="1"/>
      <c r="D18" s="1"/>
    </row>
    <row r="19" ht="15.75" customHeight="1">
      <c r="A19" s="44" t="s">
        <v>1</v>
      </c>
      <c r="B19" s="1">
        <f t="shared" ref="B19:B21" si="1">IF($E$1="1",B2,IF($E$1="2",B8,IF($E$1="3",B13,"")))</f>
        <v>2250</v>
      </c>
      <c r="C19" s="1"/>
      <c r="D19" s="1"/>
    </row>
    <row r="20" ht="15.75" customHeight="1">
      <c r="A20" s="44" t="s">
        <v>2</v>
      </c>
      <c r="B20" s="1">
        <f t="shared" si="1"/>
        <v>30</v>
      </c>
      <c r="C20" s="1"/>
      <c r="D20" s="1"/>
    </row>
    <row r="21" ht="15.75" customHeight="1">
      <c r="A21" s="44" t="s">
        <v>3</v>
      </c>
      <c r="B21" s="1">
        <f t="shared" si="1"/>
        <v>2.8</v>
      </c>
      <c r="C21" s="1"/>
      <c r="D21" s="1"/>
    </row>
    <row r="22" ht="15.75" customHeight="1">
      <c r="A22" s="44" t="s">
        <v>6</v>
      </c>
      <c r="B22" s="47">
        <f>IF(CALCULATOR!$A$2=$C$7,Options!B14,IF(CALCULATOR!$A$2=$C$8,Options!D14,IF(CALCULATOR!$A$2=$C$9,Options!F14,"")))</f>
        <v>38.2</v>
      </c>
      <c r="C22" s="1"/>
      <c r="D22" s="1"/>
    </row>
    <row r="23" ht="15.75" customHeight="1">
      <c r="A23" s="44"/>
      <c r="B23" s="1"/>
      <c r="C23" s="1"/>
      <c r="D23" s="1"/>
    </row>
    <row r="24" ht="15.75" customHeight="1">
      <c r="A24" s="44"/>
      <c r="B24" s="1"/>
      <c r="C24" s="1"/>
      <c r="D24" s="1"/>
    </row>
    <row r="25" ht="15.75" customHeight="1">
      <c r="A25" s="44"/>
      <c r="B25" s="1"/>
      <c r="C25" s="1"/>
      <c r="D25" s="1"/>
    </row>
    <row r="26" ht="15.75" customHeight="1">
      <c r="A26" s="44"/>
      <c r="B26" s="1"/>
      <c r="C26" s="1"/>
      <c r="D26" s="1"/>
    </row>
    <row r="27" ht="15.75" customHeight="1">
      <c r="A27" s="44"/>
      <c r="B27" s="1"/>
      <c r="C27" s="1"/>
      <c r="D27" s="1"/>
    </row>
    <row r="28" ht="15.75" customHeight="1">
      <c r="A28" s="44"/>
      <c r="B28" s="1"/>
      <c r="C28" s="1"/>
      <c r="D28" s="1"/>
    </row>
    <row r="29" ht="15.75" customHeight="1">
      <c r="A29" s="44"/>
      <c r="B29" s="1"/>
      <c r="C29" s="1"/>
      <c r="D29" s="1"/>
    </row>
    <row r="30" ht="15.75" customHeight="1">
      <c r="A30" s="44"/>
      <c r="B30" s="1"/>
      <c r="C30" s="1"/>
      <c r="D30" s="1"/>
    </row>
    <row r="31" ht="15.75" customHeight="1">
      <c r="A31" s="44"/>
      <c r="B31" s="1"/>
      <c r="C31" s="1"/>
      <c r="D31" s="1"/>
    </row>
    <row r="32" ht="15.75" customHeight="1">
      <c r="A32" s="44"/>
      <c r="B32" s="1"/>
      <c r="C32" s="1"/>
      <c r="D32" s="1"/>
    </row>
    <row r="33" ht="15.75" customHeight="1">
      <c r="A33" s="44"/>
      <c r="B33" s="1"/>
      <c r="C33" s="1"/>
      <c r="D33" s="1"/>
    </row>
    <row r="34" ht="15.75" customHeight="1">
      <c r="A34" s="44"/>
      <c r="B34" s="1"/>
      <c r="C34" s="1"/>
      <c r="D34" s="1"/>
    </row>
    <row r="35" ht="15.75" customHeight="1">
      <c r="A35" s="1"/>
      <c r="B35" s="1"/>
      <c r="C35" s="1"/>
      <c r="D35" s="1"/>
    </row>
    <row r="36" ht="15.75" customHeight="1">
      <c r="A36" s="1"/>
      <c r="B36" s="1"/>
      <c r="C36" s="1"/>
      <c r="D36" s="1"/>
    </row>
    <row r="37" ht="15.75" customHeight="1">
      <c r="A37" s="1"/>
      <c r="B37" s="1"/>
      <c r="C37" s="1"/>
      <c r="D37" s="1"/>
    </row>
    <row r="38" ht="15.75" customHeight="1">
      <c r="A38" s="1"/>
      <c r="B38" s="1"/>
      <c r="C38" s="1"/>
      <c r="D38" s="1"/>
    </row>
    <row r="39" ht="15.75" customHeight="1">
      <c r="A39" s="1"/>
      <c r="B39" s="1"/>
      <c r="C39" s="1"/>
      <c r="D39" s="1"/>
    </row>
    <row r="40" ht="15.75" customHeight="1">
      <c r="A40" s="1"/>
      <c r="B40" s="1"/>
      <c r="C40" s="1"/>
      <c r="D40" s="1"/>
    </row>
    <row r="41" ht="15.75" customHeight="1">
      <c r="A41" s="1"/>
      <c r="B41" s="1"/>
      <c r="C41" s="1"/>
      <c r="D41" s="1"/>
    </row>
    <row r="42" ht="15.75" customHeight="1">
      <c r="A42" s="1"/>
      <c r="B42" s="1"/>
      <c r="C42" s="1"/>
      <c r="D42" s="1"/>
    </row>
    <row r="43" ht="15.75" customHeight="1">
      <c r="A43" s="1"/>
      <c r="B43" s="1"/>
      <c r="C43" s="1"/>
      <c r="D43" s="1"/>
    </row>
    <row r="44" ht="15.75" customHeight="1">
      <c r="A44" s="1"/>
      <c r="B44" s="1"/>
      <c r="C44" s="1"/>
      <c r="D44" s="1"/>
    </row>
    <row r="45" ht="15.75" customHeight="1">
      <c r="A45" s="1"/>
      <c r="B45" s="1"/>
      <c r="C45" s="1"/>
      <c r="D45" s="1"/>
    </row>
    <row r="46" ht="15.75" customHeight="1">
      <c r="A46" s="1"/>
      <c r="B46" s="1"/>
      <c r="C46" s="1"/>
      <c r="D46" s="1"/>
    </row>
    <row r="47" ht="15.75" customHeight="1">
      <c r="A47" s="1"/>
      <c r="B47" s="1"/>
      <c r="C47" s="1"/>
      <c r="D47" s="1"/>
    </row>
    <row r="48" ht="15.75" customHeight="1">
      <c r="A48" s="1"/>
      <c r="B48" s="1"/>
      <c r="C48" s="1"/>
      <c r="D48" s="1"/>
    </row>
    <row r="49" ht="15.75" customHeight="1">
      <c r="A49" s="1"/>
      <c r="B49" s="1"/>
      <c r="C49" s="1"/>
      <c r="D49" s="1"/>
    </row>
    <row r="50" ht="15.75" customHeight="1">
      <c r="A50" s="1"/>
      <c r="B50" s="1"/>
      <c r="C50" s="1"/>
      <c r="D50" s="1"/>
    </row>
    <row r="51" ht="15.75" customHeight="1">
      <c r="A51" s="1"/>
      <c r="B51" s="1"/>
      <c r="C51" s="1"/>
      <c r="D51" s="1"/>
    </row>
    <row r="52" ht="15.75" customHeight="1">
      <c r="A52" s="1"/>
      <c r="B52" s="1"/>
      <c r="C52" s="1"/>
      <c r="D52" s="1"/>
    </row>
    <row r="53" ht="15.75" customHeight="1">
      <c r="A53" s="1"/>
      <c r="B53" s="1"/>
      <c r="C53" s="1"/>
      <c r="D53" s="1"/>
    </row>
    <row r="54" ht="15.75" customHeight="1">
      <c r="A54" s="1"/>
      <c r="B54" s="1"/>
      <c r="C54" s="1"/>
      <c r="D54" s="1"/>
    </row>
    <row r="55" ht="15.75" customHeight="1">
      <c r="A55" s="1"/>
      <c r="B55" s="1"/>
      <c r="C55" s="1"/>
      <c r="D55" s="1"/>
    </row>
    <row r="56" ht="15.75" customHeight="1">
      <c r="A56" s="1"/>
      <c r="B56" s="1"/>
      <c r="C56" s="1"/>
      <c r="D56" s="1"/>
    </row>
    <row r="57" ht="15.75" customHeight="1">
      <c r="A57" s="1"/>
      <c r="B57" s="1"/>
      <c r="C57" s="1"/>
      <c r="D57" s="1"/>
    </row>
    <row r="58" ht="15.75" customHeight="1">
      <c r="A58" s="1"/>
      <c r="B58" s="1"/>
      <c r="C58" s="1"/>
      <c r="D58" s="1"/>
    </row>
    <row r="59" ht="15.75" customHeight="1">
      <c r="A59" s="1"/>
      <c r="B59" s="1"/>
      <c r="C59" s="1"/>
      <c r="D59" s="1"/>
    </row>
    <row r="60" ht="15.75" customHeight="1">
      <c r="A60" s="1"/>
      <c r="B60" s="1"/>
      <c r="C60" s="1"/>
      <c r="D60" s="1"/>
    </row>
    <row r="61" ht="15.75" customHeight="1">
      <c r="A61" s="1"/>
      <c r="B61" s="1"/>
      <c r="C61" s="1"/>
      <c r="D61" s="1"/>
    </row>
    <row r="62" ht="15.75" customHeight="1">
      <c r="A62" s="1"/>
      <c r="B62" s="1"/>
      <c r="C62" s="1"/>
      <c r="D62" s="1"/>
    </row>
    <row r="63" ht="15.75" customHeight="1">
      <c r="A63" s="1"/>
      <c r="B63" s="1"/>
      <c r="C63" s="1"/>
      <c r="D63" s="1"/>
    </row>
    <row r="64" ht="15.75" customHeight="1">
      <c r="A64" s="1"/>
      <c r="B64" s="1"/>
      <c r="C64" s="1"/>
      <c r="D64" s="1"/>
    </row>
    <row r="65" ht="15.75" customHeight="1">
      <c r="A65" s="1"/>
      <c r="B65" s="1"/>
      <c r="C65" s="1"/>
      <c r="D65" s="1"/>
    </row>
    <row r="66" ht="15.75" customHeight="1">
      <c r="A66" s="1"/>
      <c r="B66" s="1"/>
      <c r="C66" s="1"/>
      <c r="D66" s="1"/>
    </row>
    <row r="67" ht="15.75" customHeight="1">
      <c r="A67" s="1"/>
      <c r="B67" s="1"/>
      <c r="C67" s="1"/>
      <c r="D67" s="1"/>
    </row>
    <row r="68" ht="15.75" customHeight="1">
      <c r="A68" s="1"/>
      <c r="B68" s="1"/>
      <c r="C68" s="1"/>
      <c r="D68" s="1"/>
    </row>
    <row r="69" ht="15.75" customHeight="1">
      <c r="A69" s="1"/>
      <c r="B69" s="1"/>
      <c r="C69" s="1"/>
      <c r="D69" s="1"/>
    </row>
    <row r="70" ht="15.75" customHeight="1">
      <c r="A70" s="1"/>
      <c r="B70" s="1"/>
      <c r="C70" s="1"/>
      <c r="D70" s="1"/>
    </row>
    <row r="71" ht="15.75" customHeight="1">
      <c r="A71" s="1"/>
      <c r="B71" s="1"/>
      <c r="C71" s="1"/>
      <c r="D71" s="1"/>
    </row>
    <row r="72" ht="15.75" customHeight="1">
      <c r="A72" s="1"/>
      <c r="B72" s="1"/>
      <c r="C72" s="1"/>
      <c r="D72" s="1"/>
    </row>
    <row r="73" ht="15.75" customHeight="1">
      <c r="A73" s="1"/>
      <c r="B73" s="1"/>
      <c r="C73" s="1"/>
      <c r="D73" s="1"/>
    </row>
    <row r="74" ht="15.75" customHeight="1">
      <c r="A74" s="1"/>
      <c r="B74" s="1"/>
      <c r="C74" s="1"/>
      <c r="D74" s="1"/>
    </row>
    <row r="75" ht="15.75" customHeight="1">
      <c r="A75" s="1"/>
      <c r="B75" s="1"/>
      <c r="C75" s="1"/>
      <c r="D75" s="1"/>
    </row>
    <row r="76" ht="15.75" customHeight="1">
      <c r="A76" s="1"/>
      <c r="B76" s="1"/>
      <c r="C76" s="1"/>
      <c r="D76" s="1"/>
    </row>
    <row r="77" ht="15.75" customHeight="1">
      <c r="A77" s="1"/>
      <c r="B77" s="1"/>
      <c r="C77" s="1"/>
      <c r="D77" s="1"/>
    </row>
    <row r="78" ht="15.75" customHeight="1">
      <c r="A78" s="1"/>
      <c r="B78" s="1"/>
      <c r="C78" s="1"/>
      <c r="D78" s="1"/>
    </row>
    <row r="79" ht="15.75" customHeight="1">
      <c r="A79" s="1"/>
      <c r="B79" s="1"/>
      <c r="C79" s="1"/>
      <c r="D79" s="1"/>
    </row>
    <row r="80" ht="15.75" customHeight="1">
      <c r="A80" s="1"/>
      <c r="B80" s="1"/>
      <c r="C80" s="1"/>
      <c r="D80" s="1"/>
    </row>
    <row r="81" ht="15.75" customHeight="1">
      <c r="A81" s="1"/>
      <c r="B81" s="1"/>
      <c r="C81" s="1"/>
      <c r="D81" s="1"/>
    </row>
    <row r="82" ht="15.75" customHeight="1">
      <c r="A82" s="1"/>
      <c r="B82" s="1"/>
      <c r="C82" s="1"/>
      <c r="D82" s="1"/>
    </row>
    <row r="83" ht="15.75" customHeight="1">
      <c r="A83" s="1"/>
      <c r="B83" s="1"/>
      <c r="C83" s="1"/>
      <c r="D83" s="1"/>
    </row>
    <row r="84" ht="15.75" customHeight="1">
      <c r="A84" s="1"/>
      <c r="B84" s="1"/>
      <c r="C84" s="1"/>
      <c r="D84" s="1"/>
    </row>
    <row r="85" ht="15.75" customHeight="1">
      <c r="A85" s="1"/>
      <c r="B85" s="1"/>
      <c r="C85" s="1"/>
      <c r="D85" s="1"/>
    </row>
    <row r="86" ht="15.75" customHeight="1">
      <c r="A86" s="1"/>
      <c r="B86" s="1"/>
      <c r="C86" s="1"/>
      <c r="D86" s="1"/>
    </row>
    <row r="87" ht="15.75" customHeight="1">
      <c r="A87" s="1"/>
      <c r="B87" s="1"/>
      <c r="C87" s="1"/>
      <c r="D87" s="1"/>
    </row>
    <row r="88" ht="15.75" customHeight="1">
      <c r="A88" s="1"/>
      <c r="B88" s="1"/>
      <c r="C88" s="1"/>
      <c r="D88" s="1"/>
    </row>
    <row r="89" ht="15.75" customHeight="1">
      <c r="A89" s="1"/>
      <c r="B89" s="1"/>
      <c r="C89" s="1"/>
      <c r="D89" s="1"/>
    </row>
    <row r="90" ht="15.75" customHeight="1">
      <c r="A90" s="1"/>
      <c r="B90" s="1"/>
      <c r="C90" s="1"/>
      <c r="D90" s="1"/>
    </row>
    <row r="91" ht="15.75" customHeight="1">
      <c r="A91" s="1"/>
      <c r="B91" s="1"/>
      <c r="C91" s="1"/>
      <c r="D91" s="1"/>
    </row>
    <row r="92" ht="15.75" customHeight="1">
      <c r="A92" s="1"/>
      <c r="B92" s="1"/>
      <c r="C92" s="1"/>
      <c r="D92" s="1"/>
    </row>
    <row r="93" ht="15.75" customHeight="1">
      <c r="A93" s="1"/>
      <c r="B93" s="1"/>
      <c r="C93" s="1"/>
      <c r="D93" s="1"/>
    </row>
    <row r="94" ht="15.75" customHeight="1">
      <c r="A94" s="1"/>
      <c r="B94" s="1"/>
      <c r="C94" s="1"/>
      <c r="D94" s="1"/>
    </row>
    <row r="95" ht="15.75" customHeight="1">
      <c r="A95" s="1"/>
      <c r="B95" s="1"/>
      <c r="C95" s="1"/>
      <c r="D95" s="1"/>
    </row>
    <row r="96" ht="15.75" customHeight="1">
      <c r="A96" s="1"/>
      <c r="B96" s="1"/>
      <c r="C96" s="1"/>
      <c r="D96" s="1"/>
    </row>
    <row r="97" ht="15.75" customHeight="1">
      <c r="A97" s="1"/>
      <c r="B97" s="1"/>
      <c r="C97" s="1"/>
      <c r="D97" s="1"/>
    </row>
    <row r="98" ht="15.75" customHeight="1">
      <c r="A98" s="1"/>
      <c r="B98" s="1"/>
      <c r="C98" s="1"/>
      <c r="D98" s="1"/>
    </row>
    <row r="99" ht="15.75" customHeight="1">
      <c r="A99" s="1"/>
      <c r="B99" s="1"/>
      <c r="C99" s="1"/>
      <c r="D99" s="1"/>
    </row>
    <row r="100" ht="15.75" customHeight="1">
      <c r="A100" s="1"/>
      <c r="B100" s="1"/>
      <c r="C100" s="1"/>
      <c r="D100" s="1"/>
    </row>
    <row r="101" ht="15.75" customHeight="1">
      <c r="A101" s="1"/>
      <c r="B101" s="1"/>
      <c r="C101" s="1"/>
      <c r="D101" s="1"/>
    </row>
    <row r="102" ht="15.75" customHeight="1">
      <c r="A102" s="1"/>
      <c r="B102" s="1"/>
      <c r="C102" s="1"/>
      <c r="D102" s="1"/>
    </row>
    <row r="103" ht="15.75" customHeight="1">
      <c r="A103" s="1"/>
      <c r="B103" s="1"/>
      <c r="C103" s="1"/>
      <c r="D103" s="1"/>
    </row>
    <row r="104" ht="15.75" customHeight="1">
      <c r="A104" s="1"/>
      <c r="B104" s="1"/>
      <c r="C104" s="1"/>
      <c r="D104" s="1"/>
    </row>
    <row r="105" ht="15.75" customHeight="1">
      <c r="A105" s="1"/>
      <c r="B105" s="1"/>
      <c r="C105" s="1"/>
      <c r="D105" s="1"/>
    </row>
    <row r="106" ht="15.75" customHeight="1">
      <c r="A106" s="1"/>
      <c r="B106" s="1"/>
      <c r="C106" s="1"/>
      <c r="D106" s="1"/>
    </row>
    <row r="107" ht="15.75" customHeight="1">
      <c r="A107" s="1"/>
      <c r="B107" s="1"/>
      <c r="C107" s="1"/>
      <c r="D107" s="1"/>
    </row>
    <row r="108" ht="15.75" customHeight="1">
      <c r="A108" s="1"/>
      <c r="B108" s="1"/>
      <c r="C108" s="1"/>
      <c r="D108" s="1"/>
    </row>
    <row r="109" ht="15.75" customHeight="1">
      <c r="A109" s="1"/>
      <c r="B109" s="1"/>
      <c r="C109" s="1"/>
      <c r="D109" s="1"/>
    </row>
    <row r="110" ht="15.75" customHeight="1">
      <c r="A110" s="1"/>
      <c r="B110" s="1"/>
      <c r="C110" s="1"/>
      <c r="D110" s="1"/>
    </row>
    <row r="111" ht="15.75" customHeight="1">
      <c r="A111" s="1"/>
      <c r="B111" s="1"/>
      <c r="C111" s="1"/>
      <c r="D111" s="1"/>
    </row>
    <row r="112" ht="15.75" customHeight="1">
      <c r="A112" s="1"/>
      <c r="B112" s="1"/>
      <c r="C112" s="1"/>
      <c r="D112" s="1"/>
    </row>
    <row r="113" ht="15.75" customHeight="1">
      <c r="A113" s="1"/>
      <c r="B113" s="1"/>
      <c r="C113" s="1"/>
      <c r="D113" s="1"/>
    </row>
    <row r="114" ht="15.75" customHeight="1">
      <c r="A114" s="1"/>
      <c r="B114" s="1"/>
      <c r="C114" s="1"/>
      <c r="D114" s="1"/>
    </row>
    <row r="115" ht="15.75" customHeight="1">
      <c r="A115" s="1"/>
      <c r="B115" s="1"/>
      <c r="C115" s="1"/>
      <c r="D115" s="1"/>
    </row>
    <row r="116" ht="15.75" customHeight="1">
      <c r="A116" s="1"/>
      <c r="B116" s="1"/>
      <c r="C116" s="1"/>
      <c r="D116" s="1"/>
    </row>
    <row r="117" ht="15.75" customHeight="1">
      <c r="A117" s="1"/>
      <c r="B117" s="1"/>
      <c r="C117" s="1"/>
      <c r="D117" s="1"/>
    </row>
    <row r="118" ht="15.75" customHeight="1">
      <c r="A118" s="1"/>
      <c r="B118" s="1"/>
      <c r="C118" s="1"/>
      <c r="D118" s="1"/>
    </row>
    <row r="119" ht="15.75" customHeight="1">
      <c r="A119" s="1"/>
      <c r="B119" s="1"/>
      <c r="C119" s="1"/>
      <c r="D119" s="1"/>
    </row>
    <row r="120" ht="15.75" customHeight="1">
      <c r="A120" s="1"/>
      <c r="B120" s="1"/>
      <c r="C120" s="1"/>
      <c r="D120" s="1"/>
    </row>
    <row r="121" ht="15.75" customHeight="1">
      <c r="A121" s="1"/>
      <c r="B121" s="1"/>
      <c r="C121" s="1"/>
      <c r="D121" s="1"/>
    </row>
    <row r="122" ht="15.75" customHeight="1">
      <c r="A122" s="1"/>
      <c r="B122" s="1"/>
      <c r="C122" s="1"/>
      <c r="D122" s="1"/>
    </row>
    <row r="123" ht="15.75" customHeight="1">
      <c r="A123" s="1"/>
      <c r="B123" s="1"/>
      <c r="C123" s="1"/>
      <c r="D123" s="1"/>
    </row>
    <row r="124" ht="15.75" customHeight="1">
      <c r="A124" s="1"/>
      <c r="B124" s="1"/>
      <c r="C124" s="1"/>
      <c r="D124" s="1"/>
    </row>
    <row r="125" ht="15.75" customHeight="1">
      <c r="A125" s="1"/>
      <c r="B125" s="1"/>
      <c r="C125" s="1"/>
      <c r="D125" s="1"/>
    </row>
    <row r="126" ht="15.75" customHeight="1">
      <c r="A126" s="1"/>
      <c r="B126" s="1"/>
      <c r="C126" s="1"/>
      <c r="D126" s="1"/>
    </row>
    <row r="127" ht="15.75" customHeight="1">
      <c r="A127" s="1"/>
      <c r="B127" s="1"/>
      <c r="C127" s="1"/>
      <c r="D127" s="1"/>
    </row>
    <row r="128" ht="15.75" customHeight="1">
      <c r="A128" s="1"/>
      <c r="B128" s="1"/>
      <c r="C128" s="1"/>
      <c r="D128" s="1"/>
    </row>
    <row r="129" ht="15.75" customHeight="1">
      <c r="A129" s="1"/>
      <c r="B129" s="1"/>
      <c r="C129" s="1"/>
      <c r="D129" s="1"/>
    </row>
    <row r="130" ht="15.75" customHeight="1">
      <c r="A130" s="1"/>
      <c r="B130" s="1"/>
      <c r="C130" s="1"/>
      <c r="D130" s="1"/>
    </row>
    <row r="131" ht="15.75" customHeight="1">
      <c r="A131" s="1"/>
      <c r="B131" s="1"/>
      <c r="C131" s="1"/>
      <c r="D131" s="1"/>
    </row>
    <row r="132" ht="15.75" customHeight="1">
      <c r="A132" s="1"/>
      <c r="B132" s="1"/>
      <c r="C132" s="1"/>
      <c r="D132" s="1"/>
    </row>
    <row r="133" ht="15.75" customHeight="1">
      <c r="A133" s="1"/>
      <c r="B133" s="1"/>
      <c r="C133" s="1"/>
      <c r="D133" s="1"/>
    </row>
    <row r="134" ht="15.75" customHeight="1">
      <c r="A134" s="1"/>
      <c r="B134" s="1"/>
      <c r="C134" s="1"/>
      <c r="D134" s="1"/>
    </row>
    <row r="135" ht="15.75" customHeight="1">
      <c r="A135" s="1"/>
      <c r="B135" s="1"/>
      <c r="C135" s="1"/>
      <c r="D135" s="1"/>
    </row>
    <row r="136" ht="15.75" customHeight="1">
      <c r="A136" s="1"/>
      <c r="B136" s="1"/>
      <c r="C136" s="1"/>
      <c r="D136" s="1"/>
    </row>
    <row r="137" ht="15.75" customHeight="1">
      <c r="A137" s="1"/>
      <c r="B137" s="1"/>
      <c r="C137" s="1"/>
      <c r="D137" s="1"/>
    </row>
    <row r="138" ht="15.75" customHeight="1">
      <c r="A138" s="1"/>
      <c r="B138" s="1"/>
      <c r="C138" s="1"/>
      <c r="D138" s="1"/>
    </row>
    <row r="139" ht="15.75" customHeight="1">
      <c r="A139" s="1"/>
      <c r="B139" s="1"/>
      <c r="C139" s="1"/>
      <c r="D139" s="1"/>
    </row>
    <row r="140" ht="15.75" customHeight="1">
      <c r="A140" s="1"/>
      <c r="B140" s="1"/>
      <c r="C140" s="1"/>
      <c r="D140" s="1"/>
    </row>
    <row r="141" ht="15.75" customHeight="1">
      <c r="A141" s="1"/>
      <c r="B141" s="1"/>
      <c r="C141" s="1"/>
      <c r="D141" s="1"/>
    </row>
    <row r="142" ht="15.75" customHeight="1">
      <c r="A142" s="1"/>
      <c r="B142" s="1"/>
      <c r="C142" s="1"/>
      <c r="D142" s="1"/>
    </row>
    <row r="143" ht="15.75" customHeight="1">
      <c r="A143" s="1"/>
      <c r="B143" s="1"/>
      <c r="C143" s="1"/>
      <c r="D143" s="1"/>
    </row>
    <row r="144" ht="15.75" customHeight="1">
      <c r="A144" s="1"/>
      <c r="B144" s="1"/>
      <c r="C144" s="1"/>
      <c r="D144" s="1"/>
    </row>
    <row r="145" ht="15.75" customHeight="1">
      <c r="A145" s="1"/>
      <c r="B145" s="1"/>
      <c r="C145" s="1"/>
      <c r="D145" s="1"/>
    </row>
    <row r="146" ht="15.75" customHeight="1">
      <c r="A146" s="1"/>
      <c r="B146" s="1"/>
      <c r="C146" s="1"/>
      <c r="D146" s="1"/>
    </row>
    <row r="147" ht="15.75" customHeight="1">
      <c r="A147" s="1"/>
      <c r="B147" s="1"/>
      <c r="C147" s="1"/>
      <c r="D147" s="1"/>
    </row>
    <row r="148" ht="15.75" customHeight="1">
      <c r="A148" s="1"/>
      <c r="B148" s="1"/>
      <c r="C148" s="1"/>
      <c r="D148" s="1"/>
    </row>
    <row r="149" ht="15.75" customHeight="1">
      <c r="A149" s="1"/>
      <c r="B149" s="1"/>
      <c r="C149" s="1"/>
      <c r="D149" s="1"/>
    </row>
    <row r="150" ht="15.75" customHeight="1">
      <c r="A150" s="1"/>
      <c r="B150" s="1"/>
      <c r="C150" s="1"/>
      <c r="D150" s="1"/>
    </row>
    <row r="151" ht="15.75" customHeight="1">
      <c r="A151" s="1"/>
      <c r="B151" s="1"/>
      <c r="C151" s="1"/>
      <c r="D151" s="1"/>
    </row>
    <row r="152" ht="15.75" customHeight="1">
      <c r="A152" s="1"/>
      <c r="B152" s="1"/>
      <c r="C152" s="1"/>
      <c r="D152" s="1"/>
    </row>
    <row r="153" ht="15.75" customHeight="1">
      <c r="A153" s="1"/>
      <c r="B153" s="1"/>
      <c r="C153" s="1"/>
      <c r="D153" s="1"/>
    </row>
    <row r="154" ht="15.75" customHeight="1">
      <c r="A154" s="1"/>
      <c r="B154" s="1"/>
      <c r="C154" s="1"/>
      <c r="D154" s="1"/>
    </row>
    <row r="155" ht="15.75" customHeight="1">
      <c r="A155" s="1"/>
      <c r="B155" s="1"/>
      <c r="C155" s="1"/>
      <c r="D155" s="1"/>
    </row>
    <row r="156" ht="15.75" customHeight="1">
      <c r="A156" s="1"/>
      <c r="B156" s="1"/>
      <c r="C156" s="1"/>
      <c r="D156" s="1"/>
    </row>
    <row r="157" ht="15.75" customHeight="1">
      <c r="A157" s="1"/>
      <c r="B157" s="1"/>
      <c r="C157" s="1"/>
      <c r="D157" s="1"/>
    </row>
    <row r="158" ht="15.75" customHeight="1">
      <c r="A158" s="1"/>
      <c r="B158" s="1"/>
      <c r="C158" s="1"/>
      <c r="D158" s="1"/>
    </row>
    <row r="159" ht="15.75" customHeight="1">
      <c r="A159" s="1"/>
      <c r="B159" s="1"/>
      <c r="C159" s="1"/>
      <c r="D159" s="1"/>
    </row>
    <row r="160" ht="15.75" customHeight="1">
      <c r="A160" s="1"/>
      <c r="B160" s="1"/>
      <c r="C160" s="1"/>
      <c r="D160" s="1"/>
    </row>
    <row r="161" ht="15.75" customHeight="1">
      <c r="A161" s="1"/>
      <c r="B161" s="1"/>
      <c r="C161" s="1"/>
      <c r="D161" s="1"/>
    </row>
    <row r="162" ht="15.75" customHeight="1">
      <c r="A162" s="1"/>
      <c r="B162" s="1"/>
      <c r="C162" s="1"/>
      <c r="D162" s="1"/>
    </row>
    <row r="163" ht="15.75" customHeight="1">
      <c r="A163" s="1"/>
      <c r="B163" s="1"/>
      <c r="C163" s="1"/>
      <c r="D163" s="1"/>
    </row>
    <row r="164" ht="15.75" customHeight="1">
      <c r="A164" s="1"/>
      <c r="B164" s="1"/>
      <c r="C164" s="1"/>
      <c r="D164" s="1"/>
    </row>
    <row r="165" ht="15.75" customHeight="1">
      <c r="A165" s="1"/>
      <c r="B165" s="1"/>
      <c r="C165" s="1"/>
      <c r="D165" s="1"/>
    </row>
    <row r="166" ht="15.75" customHeight="1">
      <c r="A166" s="1"/>
      <c r="B166" s="1"/>
      <c r="C166" s="1"/>
      <c r="D166" s="1"/>
    </row>
    <row r="167" ht="15.75" customHeight="1">
      <c r="A167" s="1"/>
      <c r="B167" s="1"/>
      <c r="C167" s="1"/>
      <c r="D167" s="1"/>
    </row>
    <row r="168" ht="15.75" customHeight="1">
      <c r="A168" s="1"/>
      <c r="B168" s="1"/>
      <c r="C168" s="1"/>
      <c r="D168" s="1"/>
    </row>
    <row r="169" ht="15.75" customHeight="1">
      <c r="A169" s="1"/>
      <c r="B169" s="1"/>
      <c r="C169" s="1"/>
      <c r="D169" s="1"/>
    </row>
    <row r="170" ht="15.75" customHeight="1">
      <c r="A170" s="1"/>
      <c r="B170" s="1"/>
      <c r="C170" s="1"/>
      <c r="D170" s="1"/>
    </row>
    <row r="171" ht="15.75" customHeight="1">
      <c r="A171" s="1"/>
      <c r="B171" s="1"/>
      <c r="C171" s="1"/>
      <c r="D171" s="1"/>
    </row>
    <row r="172" ht="15.75" customHeight="1">
      <c r="A172" s="1"/>
      <c r="B172" s="1"/>
      <c r="C172" s="1"/>
      <c r="D172" s="1"/>
    </row>
    <row r="173" ht="15.75" customHeight="1">
      <c r="A173" s="1"/>
      <c r="B173" s="1"/>
      <c r="C173" s="1"/>
      <c r="D173" s="1"/>
    </row>
    <row r="174" ht="15.75" customHeight="1">
      <c r="A174" s="1"/>
      <c r="B174" s="1"/>
      <c r="C174" s="1"/>
      <c r="D174" s="1"/>
    </row>
    <row r="175" ht="15.75" customHeight="1">
      <c r="A175" s="1"/>
      <c r="B175" s="1"/>
      <c r="C175" s="1"/>
      <c r="D175" s="1"/>
    </row>
    <row r="176" ht="15.75" customHeight="1">
      <c r="A176" s="1"/>
      <c r="B176" s="1"/>
      <c r="C176" s="1"/>
      <c r="D176" s="1"/>
    </row>
    <row r="177" ht="15.75" customHeight="1">
      <c r="A177" s="1"/>
      <c r="B177" s="1"/>
      <c r="C177" s="1"/>
      <c r="D177" s="1"/>
    </row>
    <row r="178" ht="15.75" customHeight="1">
      <c r="A178" s="1"/>
      <c r="B178" s="1"/>
      <c r="C178" s="1"/>
      <c r="D178" s="1"/>
    </row>
    <row r="179" ht="15.75" customHeight="1">
      <c r="A179" s="1"/>
      <c r="B179" s="1"/>
      <c r="C179" s="1"/>
      <c r="D179" s="1"/>
    </row>
    <row r="180" ht="15.75" customHeight="1">
      <c r="A180" s="1"/>
      <c r="B180" s="1"/>
      <c r="C180" s="1"/>
      <c r="D180" s="1"/>
    </row>
    <row r="181" ht="15.75" customHeight="1">
      <c r="A181" s="1"/>
      <c r="B181" s="1"/>
      <c r="C181" s="1"/>
      <c r="D181" s="1"/>
    </row>
    <row r="182" ht="15.75" customHeight="1">
      <c r="A182" s="1"/>
      <c r="B182" s="1"/>
      <c r="C182" s="1"/>
      <c r="D182" s="1"/>
    </row>
    <row r="183" ht="15.75" customHeight="1">
      <c r="A183" s="1"/>
      <c r="B183" s="1"/>
      <c r="C183" s="1"/>
      <c r="D183" s="1"/>
    </row>
    <row r="184" ht="15.75" customHeight="1">
      <c r="A184" s="1"/>
      <c r="B184" s="1"/>
      <c r="C184" s="1"/>
      <c r="D184" s="1"/>
    </row>
    <row r="185" ht="15.75" customHeight="1">
      <c r="A185" s="1"/>
      <c r="B185" s="1"/>
      <c r="C185" s="1"/>
      <c r="D185" s="1"/>
    </row>
    <row r="186" ht="15.75" customHeight="1">
      <c r="A186" s="1"/>
      <c r="B186" s="1"/>
      <c r="C186" s="1"/>
      <c r="D186" s="1"/>
    </row>
    <row r="187" ht="15.75" customHeight="1">
      <c r="A187" s="1"/>
      <c r="B187" s="1"/>
      <c r="C187" s="1"/>
      <c r="D187" s="1"/>
    </row>
    <row r="188" ht="15.75" customHeight="1">
      <c r="A188" s="1"/>
      <c r="B188" s="1"/>
      <c r="C188" s="1"/>
      <c r="D188" s="1"/>
    </row>
    <row r="189" ht="15.75" customHeight="1">
      <c r="A189" s="1"/>
      <c r="B189" s="1"/>
      <c r="C189" s="1"/>
      <c r="D189" s="1"/>
    </row>
    <row r="190" ht="15.75" customHeight="1">
      <c r="A190" s="1"/>
      <c r="B190" s="1"/>
      <c r="C190" s="1"/>
      <c r="D190" s="1"/>
    </row>
    <row r="191" ht="15.75" customHeight="1">
      <c r="A191" s="1"/>
      <c r="B191" s="1"/>
      <c r="C191" s="1"/>
      <c r="D191" s="1"/>
    </row>
    <row r="192" ht="15.75" customHeight="1">
      <c r="A192" s="1"/>
      <c r="B192" s="1"/>
      <c r="C192" s="1"/>
      <c r="D192" s="1"/>
    </row>
    <row r="193" ht="15.75" customHeight="1">
      <c r="A193" s="1"/>
      <c r="B193" s="1"/>
      <c r="C193" s="1"/>
      <c r="D193" s="1"/>
    </row>
    <row r="194" ht="15.75" customHeight="1">
      <c r="A194" s="1"/>
      <c r="B194" s="1"/>
      <c r="C194" s="1"/>
      <c r="D194" s="1"/>
    </row>
    <row r="195" ht="15.75" customHeight="1">
      <c r="A195" s="1"/>
      <c r="B195" s="1"/>
      <c r="C195" s="1"/>
      <c r="D195" s="1"/>
    </row>
    <row r="196" ht="15.75" customHeight="1">
      <c r="A196" s="1"/>
      <c r="B196" s="1"/>
      <c r="C196" s="1"/>
      <c r="D196" s="1"/>
    </row>
    <row r="197" ht="15.75" customHeight="1">
      <c r="A197" s="1"/>
      <c r="B197" s="1"/>
      <c r="C197" s="1"/>
      <c r="D197" s="1"/>
    </row>
    <row r="198" ht="15.75" customHeight="1">
      <c r="A198" s="1"/>
      <c r="B198" s="1"/>
      <c r="C198" s="1"/>
      <c r="D198" s="1"/>
    </row>
    <row r="199" ht="15.75" customHeight="1">
      <c r="A199" s="1"/>
      <c r="B199" s="1"/>
      <c r="C199" s="1"/>
      <c r="D199" s="1"/>
    </row>
    <row r="200" ht="15.75" customHeight="1">
      <c r="A200" s="1"/>
      <c r="B200" s="1"/>
      <c r="C200" s="1"/>
      <c r="D200" s="1"/>
    </row>
    <row r="201" ht="15.75" customHeight="1">
      <c r="A201" s="1"/>
      <c r="B201" s="1"/>
      <c r="C201" s="1"/>
      <c r="D201" s="1"/>
    </row>
    <row r="202" ht="15.75" customHeight="1">
      <c r="A202" s="1"/>
      <c r="B202" s="1"/>
      <c r="C202" s="1"/>
      <c r="D202" s="1"/>
    </row>
    <row r="203" ht="15.75" customHeight="1">
      <c r="A203" s="1"/>
      <c r="B203" s="1"/>
      <c r="C203" s="1"/>
      <c r="D203" s="1"/>
    </row>
    <row r="204" ht="15.75" customHeight="1">
      <c r="A204" s="1"/>
      <c r="B204" s="1"/>
      <c r="C204" s="1"/>
      <c r="D204" s="1"/>
    </row>
    <row r="205" ht="15.75" customHeight="1">
      <c r="A205" s="1"/>
      <c r="B205" s="1"/>
      <c r="C205" s="1"/>
      <c r="D205" s="1"/>
    </row>
    <row r="206" ht="15.75" customHeight="1">
      <c r="A206" s="1"/>
      <c r="B206" s="1"/>
      <c r="C206" s="1"/>
      <c r="D206" s="1"/>
    </row>
    <row r="207" ht="15.75" customHeight="1">
      <c r="A207" s="1"/>
      <c r="B207" s="1"/>
      <c r="C207" s="1"/>
      <c r="D207" s="1"/>
    </row>
    <row r="208" ht="15.75" customHeight="1">
      <c r="A208" s="1"/>
      <c r="B208" s="1"/>
      <c r="C208" s="1"/>
      <c r="D208" s="1"/>
    </row>
    <row r="209" ht="15.75" customHeight="1">
      <c r="A209" s="1"/>
      <c r="B209" s="1"/>
      <c r="C209" s="1"/>
      <c r="D209" s="1"/>
    </row>
    <row r="210" ht="15.75" customHeight="1">
      <c r="A210" s="1"/>
      <c r="B210" s="1"/>
      <c r="C210" s="1"/>
      <c r="D210" s="1"/>
    </row>
    <row r="211" ht="15.75" customHeight="1">
      <c r="A211" s="1"/>
      <c r="B211" s="1"/>
      <c r="C211" s="1"/>
      <c r="D211" s="1"/>
    </row>
    <row r="212" ht="15.75" customHeight="1">
      <c r="A212" s="1"/>
      <c r="B212" s="1"/>
      <c r="C212" s="1"/>
      <c r="D212" s="1"/>
    </row>
    <row r="213" ht="15.75" customHeight="1">
      <c r="A213" s="1"/>
      <c r="B213" s="1"/>
      <c r="C213" s="1"/>
      <c r="D213" s="1"/>
    </row>
    <row r="214" ht="15.75" customHeight="1">
      <c r="A214" s="1"/>
      <c r="B214" s="1"/>
      <c r="C214" s="1"/>
      <c r="D214" s="1"/>
    </row>
    <row r="215" ht="15.75" customHeight="1">
      <c r="A215" s="1"/>
      <c r="B215" s="1"/>
      <c r="C215" s="1"/>
      <c r="D215" s="1"/>
    </row>
    <row r="216" ht="15.75" customHeight="1">
      <c r="A216" s="1"/>
      <c r="B216" s="1"/>
      <c r="C216" s="1"/>
      <c r="D216" s="1"/>
    </row>
    <row r="217" ht="15.75" customHeight="1">
      <c r="A217" s="1"/>
      <c r="B217" s="1"/>
      <c r="C217" s="1"/>
      <c r="D217" s="1"/>
    </row>
    <row r="218" ht="15.75" customHeight="1">
      <c r="A218" s="1"/>
      <c r="B218" s="1"/>
      <c r="C218" s="1"/>
      <c r="D218" s="1"/>
    </row>
    <row r="219" ht="15.75" customHeight="1">
      <c r="A219" s="1"/>
      <c r="B219" s="1"/>
      <c r="C219" s="1"/>
      <c r="D219" s="1"/>
    </row>
    <row r="220" ht="15.75" customHeight="1">
      <c r="A220" s="1"/>
      <c r="B220" s="1"/>
      <c r="C220" s="1"/>
      <c r="D220" s="1"/>
    </row>
    <row r="221" ht="15.75" customHeight="1">
      <c r="A221" s="1"/>
      <c r="B221" s="1"/>
      <c r="C221" s="1"/>
      <c r="D221" s="1"/>
    </row>
    <row r="222" ht="15.75" customHeight="1">
      <c r="A222" s="1"/>
      <c r="B222" s="1"/>
      <c r="C222" s="1"/>
      <c r="D222" s="1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B1"/>
    <mergeCell ref="C1:D1"/>
    <mergeCell ref="A12:B12"/>
  </mergeCells>
  <drawing r:id="rId1"/>
</worksheet>
</file>